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I:\MO-AVD\5434 Statusrapport kollektivtransport\2025\"/>
    </mc:Choice>
  </mc:AlternateContent>
  <xr:revisionPtr revIDLastSave="0" documentId="8_{C6C927ED-8FF3-4D52-A9B7-94AF48E99E2E}" xr6:coauthVersionLast="47" xr6:coauthVersionMax="47" xr10:uidLastSave="{00000000-0000-0000-0000-000000000000}"/>
  <bookViews>
    <workbookView xWindow="-71820" yWindow="-21270" windowWidth="36435" windowHeight="15225" tabRatio="883" xr2:uid="{F7EABB36-2E27-4C9F-B72F-73DE77E1BE5B}"/>
  </bookViews>
  <sheets>
    <sheet name="Sammenstilling_total" sheetId="1" r:id="rId1"/>
    <sheet name="Sammenstilling_buss" sheetId="2" r:id="rId2"/>
    <sheet name="Sammenstilling_skinnegående" sheetId="4" r:id="rId3"/>
    <sheet name="Sammenstilling_båt&amp;hurtigbåt" sheetId="6" r:id="rId4"/>
    <sheet name="Sammenstilling_ferge" sheetId="7" r:id="rId5"/>
    <sheet name="Vedlegg1_Metadata" sheetId="8" r:id="rId6"/>
    <sheet name="Vedlegg2_datainnhentingskjema" sheetId="10"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7" l="1"/>
  <c r="AP36" i="7"/>
  <c r="AO36" i="7"/>
  <c r="AN36" i="7"/>
  <c r="AM36" i="7"/>
  <c r="AL36" i="7"/>
  <c r="AJ36" i="7"/>
  <c r="AI36" i="7"/>
  <c r="AH36" i="7"/>
  <c r="AG36" i="7"/>
  <c r="AF36" i="7"/>
  <c r="AD36" i="7"/>
  <c r="AC36" i="7"/>
  <c r="AB36" i="7"/>
  <c r="AA36" i="7"/>
  <c r="Z36" i="7"/>
  <c r="V36" i="7"/>
  <c r="U36" i="7"/>
  <c r="T36" i="7"/>
  <c r="R36" i="7"/>
  <c r="Q36" i="7"/>
  <c r="P36" i="7"/>
  <c r="O36" i="7"/>
  <c r="G36" i="7"/>
  <c r="F36" i="7"/>
  <c r="E36" i="7"/>
  <c r="D36" i="7"/>
  <c r="C36" i="7"/>
  <c r="AP35" i="7"/>
  <c r="AO35" i="7"/>
  <c r="AN35" i="7"/>
  <c r="AM35" i="7"/>
  <c r="AL35" i="7"/>
  <c r="AJ35" i="7"/>
  <c r="AI35" i="7"/>
  <c r="AH35" i="7"/>
  <c r="AG35" i="7"/>
  <c r="AF35" i="7"/>
  <c r="AD35" i="7"/>
  <c r="AC35" i="7"/>
  <c r="AB35" i="7"/>
  <c r="AA35" i="7"/>
  <c r="Z35" i="7"/>
  <c r="V35" i="7"/>
  <c r="U35" i="7"/>
  <c r="T35" i="7"/>
  <c r="R35" i="7"/>
  <c r="Q35" i="7"/>
  <c r="P35" i="7"/>
  <c r="O35" i="7"/>
  <c r="M35" i="7"/>
  <c r="L35" i="7"/>
  <c r="K35" i="7"/>
  <c r="J35" i="7"/>
  <c r="I35" i="7"/>
  <c r="G35" i="7"/>
  <c r="F35" i="7"/>
  <c r="E35" i="7"/>
  <c r="D35" i="7"/>
  <c r="C35" i="7"/>
  <c r="AP34" i="7"/>
  <c r="AO34" i="7"/>
  <c r="AN34" i="7"/>
  <c r="AM34" i="7"/>
  <c r="AL34" i="7"/>
  <c r="AJ34" i="7"/>
  <c r="AI34" i="7"/>
  <c r="AH34" i="7"/>
  <c r="AG34" i="7"/>
  <c r="AF34" i="7"/>
  <c r="AD34" i="7"/>
  <c r="AC34" i="7"/>
  <c r="AB34" i="7"/>
  <c r="AA34" i="7"/>
  <c r="Z34" i="7"/>
  <c r="V34" i="7"/>
  <c r="U34" i="7"/>
  <c r="T34" i="7"/>
  <c r="R34" i="7"/>
  <c r="Q34" i="7"/>
  <c r="P34" i="7"/>
  <c r="O34" i="7"/>
  <c r="G34" i="7"/>
  <c r="F34" i="7"/>
  <c r="E34" i="7"/>
  <c r="D34" i="7"/>
  <c r="C34" i="7"/>
  <c r="AP33" i="7"/>
  <c r="AO33" i="7"/>
  <c r="AN33" i="7"/>
  <c r="AM33" i="7"/>
  <c r="AL33" i="7"/>
  <c r="AD33" i="7"/>
  <c r="AC33" i="7"/>
  <c r="AB33" i="7"/>
  <c r="AA33" i="7"/>
  <c r="Z33" i="7"/>
  <c r="X33" i="7"/>
  <c r="V33" i="7"/>
  <c r="U33" i="7"/>
  <c r="R33" i="7"/>
  <c r="Q33" i="7"/>
  <c r="P33" i="7"/>
  <c r="O33" i="7"/>
  <c r="AP32" i="7"/>
  <c r="AO32" i="7"/>
  <c r="AN32" i="7"/>
  <c r="AM32" i="7"/>
  <c r="AL32" i="7"/>
  <c r="AJ32" i="7"/>
  <c r="AI32" i="7"/>
  <c r="AH32" i="7"/>
  <c r="AG32" i="7"/>
  <c r="AF32" i="7"/>
  <c r="AD32" i="7"/>
  <c r="AC32" i="7"/>
  <c r="AB32" i="7"/>
  <c r="AA32" i="7"/>
  <c r="Z32" i="7"/>
  <c r="X32" i="7"/>
  <c r="W32" i="7"/>
  <c r="V32" i="7"/>
  <c r="U32" i="7"/>
  <c r="T32" i="7"/>
  <c r="R32" i="7"/>
  <c r="Q32" i="7"/>
  <c r="P32" i="7"/>
  <c r="O32" i="7"/>
  <c r="AP31" i="7"/>
  <c r="AO31" i="7"/>
  <c r="AN31" i="7"/>
  <c r="AM31" i="7"/>
  <c r="AJ31" i="7"/>
  <c r="AI31" i="7"/>
  <c r="AH31" i="7"/>
  <c r="AG31" i="7"/>
  <c r="AF31" i="7"/>
  <c r="AD31" i="7"/>
  <c r="AC31" i="7"/>
  <c r="AB31" i="7"/>
  <c r="AA31" i="7"/>
  <c r="Z31" i="7"/>
  <c r="X31" i="7"/>
  <c r="V31" i="7"/>
  <c r="U31" i="7"/>
  <c r="R31" i="7"/>
  <c r="Q31" i="7"/>
  <c r="P31" i="7"/>
  <c r="O31" i="7"/>
  <c r="AP30" i="7"/>
  <c r="AO30" i="7"/>
  <c r="AN30" i="7"/>
  <c r="AM30" i="7"/>
  <c r="AL30" i="7"/>
  <c r="AJ30" i="7"/>
  <c r="AI30" i="7"/>
  <c r="AH30" i="7"/>
  <c r="AG30" i="7"/>
  <c r="AF30" i="7"/>
  <c r="AD30" i="7"/>
  <c r="AC30" i="7"/>
  <c r="AB30" i="7"/>
  <c r="AA30" i="7"/>
  <c r="Z30" i="7"/>
  <c r="X30" i="7"/>
  <c r="W30" i="7"/>
  <c r="V30" i="7"/>
  <c r="U30" i="7"/>
  <c r="T30" i="7"/>
  <c r="R30" i="7"/>
  <c r="Q30" i="7"/>
  <c r="P30" i="7"/>
  <c r="O30" i="7"/>
  <c r="AP28" i="7"/>
  <c r="AO28" i="7"/>
  <c r="AN28" i="7"/>
  <c r="AM28" i="7"/>
  <c r="AJ28" i="7"/>
  <c r="AI28" i="7"/>
  <c r="AH28" i="7"/>
  <c r="AG28" i="7"/>
  <c r="AF28" i="7"/>
  <c r="AD28" i="7"/>
  <c r="AC28" i="7"/>
  <c r="AB28" i="7"/>
  <c r="AA28" i="7"/>
  <c r="Z28" i="7"/>
  <c r="X28" i="7"/>
  <c r="V28" i="7"/>
  <c r="U28" i="7"/>
  <c r="R28" i="7"/>
  <c r="Q28" i="7"/>
  <c r="P28" i="7"/>
  <c r="O28" i="7"/>
  <c r="X25" i="7"/>
  <c r="X35" i="7" s="1"/>
  <c r="W25" i="7"/>
  <c r="W35" i="7" s="1"/>
  <c r="AD22" i="7"/>
  <c r="AC22" i="7"/>
  <c r="AB22" i="7"/>
  <c r="AA22" i="7"/>
  <c r="Z22" i="7"/>
  <c r="X22" i="7"/>
  <c r="W22" i="7"/>
  <c r="V22" i="7"/>
  <c r="U22" i="7"/>
  <c r="T22" i="7"/>
  <c r="R22" i="7"/>
  <c r="Q22" i="7"/>
  <c r="P22" i="7"/>
  <c r="O22" i="7"/>
  <c r="AP21" i="7"/>
  <c r="AO21" i="7"/>
  <c r="AN21" i="7"/>
  <c r="AM21" i="7"/>
  <c r="AL21" i="7"/>
  <c r="AL31" i="7" s="1"/>
  <c r="AD21" i="7"/>
  <c r="AC21" i="7"/>
  <c r="AB21" i="7"/>
  <c r="AA21" i="7"/>
  <c r="Z21" i="7"/>
  <c r="X21" i="7"/>
  <c r="W21" i="7"/>
  <c r="W31" i="7" s="1"/>
  <c r="V21" i="7"/>
  <c r="U21" i="7"/>
  <c r="T21" i="7"/>
  <c r="T31" i="7" s="1"/>
  <c r="BC17" i="7"/>
  <c r="AP17" i="7"/>
  <c r="AO17" i="7"/>
  <c r="AN17" i="7"/>
  <c r="AM17" i="7"/>
  <c r="AL17" i="7"/>
  <c r="AK17" i="7"/>
  <c r="AJ17" i="7"/>
  <c r="AJ33" i="7" s="1"/>
  <c r="AI17" i="7"/>
  <c r="AI33" i="7" s="1"/>
  <c r="AH17" i="7"/>
  <c r="AH33" i="7" s="1"/>
  <c r="AG17" i="7"/>
  <c r="AG33" i="7" s="1"/>
  <c r="AF17" i="7"/>
  <c r="AF33" i="7" s="1"/>
  <c r="AE17" i="7"/>
  <c r="AD17" i="7"/>
  <c r="AC17" i="7"/>
  <c r="AB17" i="7"/>
  <c r="AA17" i="7"/>
  <c r="Z17" i="7"/>
  <c r="Y17" i="7"/>
  <c r="X17" i="7"/>
  <c r="W17" i="7"/>
  <c r="W33" i="7" s="1"/>
  <c r="V17" i="7"/>
  <c r="U17" i="7"/>
  <c r="T17" i="7"/>
  <c r="T33" i="7" s="1"/>
  <c r="R17" i="7"/>
  <c r="Q17" i="7"/>
  <c r="P17" i="7"/>
  <c r="O17" i="7"/>
  <c r="R13" i="7"/>
  <c r="Q13" i="7"/>
  <c r="P13" i="7"/>
  <c r="O13" i="7"/>
  <c r="G13" i="7"/>
  <c r="F13" i="7"/>
  <c r="E13" i="7"/>
  <c r="D13" i="7"/>
  <c r="C13" i="7"/>
  <c r="AW7" i="7"/>
  <c r="H7" i="7"/>
  <c r="BC5" i="7"/>
  <c r="AW5" i="7"/>
  <c r="AV5" i="7"/>
  <c r="AU5" i="7"/>
  <c r="Y5" i="7"/>
  <c r="S5" i="7"/>
  <c r="H5" i="7"/>
  <c r="BM23" i="6"/>
  <c r="BM24" i="6"/>
  <c r="BM25" i="6"/>
  <c r="BM26" i="6"/>
  <c r="BM27" i="6"/>
  <c r="BM28" i="6"/>
  <c r="BM29" i="6"/>
  <c r="BM30" i="6"/>
  <c r="BM31" i="6"/>
  <c r="BM22" i="6"/>
  <c r="BF23" i="6"/>
  <c r="BF24" i="6"/>
  <c r="BF25" i="6"/>
  <c r="BF26" i="6"/>
  <c r="BF27" i="6"/>
  <c r="BF28" i="6"/>
  <c r="BF29" i="6"/>
  <c r="BF30" i="6"/>
  <c r="BF31" i="6"/>
  <c r="BG22" i="6"/>
  <c r="BA23" i="6"/>
  <c r="BA24" i="6"/>
  <c r="BA25" i="6"/>
  <c r="BA26" i="6"/>
  <c r="BA27" i="6"/>
  <c r="BA28" i="6"/>
  <c r="BA29" i="6"/>
  <c r="BA30" i="6"/>
  <c r="BA31" i="6"/>
  <c r="BA22" i="6"/>
  <c r="AI23" i="6"/>
  <c r="AI24" i="6"/>
  <c r="AI25" i="6"/>
  <c r="AI27" i="6"/>
  <c r="AI28" i="6"/>
  <c r="AI29" i="6"/>
  <c r="AI30" i="6"/>
  <c r="AI31" i="6"/>
  <c r="AI22" i="6"/>
  <c r="AI26" i="6" s="1"/>
  <c r="AC22" i="6"/>
  <c r="AC26" i="6" s="1"/>
  <c r="AC23" i="6"/>
  <c r="AC24" i="6"/>
  <c r="AC25" i="6"/>
  <c r="AC27" i="6"/>
  <c r="AC28" i="6"/>
  <c r="AC29" i="6"/>
  <c r="AC30" i="6"/>
  <c r="AC31" i="6"/>
  <c r="T23" i="6"/>
  <c r="T28" i="6" s="1"/>
  <c r="T24" i="6"/>
  <c r="T29" i="6" s="1"/>
  <c r="T26" i="6"/>
  <c r="T31" i="6" s="1"/>
  <c r="AD8" i="6"/>
  <c r="AE8" i="6"/>
  <c r="AF8" i="6"/>
  <c r="AG8" i="6"/>
  <c r="AH8" i="6"/>
  <c r="Y9" i="6"/>
  <c r="Z9" i="6"/>
  <c r="AA9" i="6"/>
  <c r="AB9" i="6"/>
  <c r="AD9" i="6"/>
  <c r="AE9" i="6"/>
  <c r="AF9" i="6"/>
  <c r="AG9" i="6"/>
  <c r="AH9" i="6"/>
  <c r="AD17" i="6"/>
  <c r="AD29" i="6" s="1"/>
  <c r="AE17" i="6"/>
  <c r="AE25" i="6" s="1"/>
  <c r="AF17" i="6"/>
  <c r="AF22" i="6" s="1"/>
  <c r="AF26" i="6" s="1"/>
  <c r="AG17" i="6"/>
  <c r="AG22" i="6" s="1"/>
  <c r="AG26" i="6" s="1"/>
  <c r="AH17" i="6"/>
  <c r="AH22" i="6" s="1"/>
  <c r="AH26" i="6" s="1"/>
  <c r="Y22" i="6"/>
  <c r="Y26" i="6" s="1"/>
  <c r="Z22" i="6"/>
  <c r="Z26" i="6" s="1"/>
  <c r="AA22" i="6"/>
  <c r="AA26" i="6" s="1"/>
  <c r="AB22" i="6"/>
  <c r="AB26" i="6" s="1"/>
  <c r="Y23" i="6"/>
  <c r="Z23" i="6"/>
  <c r="AA23" i="6"/>
  <c r="AB23" i="6"/>
  <c r="AD23" i="6"/>
  <c r="AE23" i="6"/>
  <c r="AF23" i="6"/>
  <c r="AG23" i="6"/>
  <c r="AH23" i="6"/>
  <c r="Y24" i="6"/>
  <c r="Z24" i="6"/>
  <c r="AA24" i="6"/>
  <c r="AB24" i="6"/>
  <c r="AE24" i="6"/>
  <c r="Y25" i="6"/>
  <c r="Z25" i="6"/>
  <c r="AA25" i="6"/>
  <c r="AB25" i="6"/>
  <c r="Y27" i="6"/>
  <c r="Z27" i="6"/>
  <c r="AA27" i="6"/>
  <c r="AB27" i="6"/>
  <c r="AD27" i="6"/>
  <c r="AE27" i="6"/>
  <c r="AF27" i="6"/>
  <c r="AG27" i="6"/>
  <c r="AH27" i="6"/>
  <c r="Y28" i="6"/>
  <c r="Z28" i="6"/>
  <c r="AA28" i="6"/>
  <c r="AB28" i="6"/>
  <c r="AD28" i="6"/>
  <c r="AE28" i="6"/>
  <c r="AF28" i="6"/>
  <c r="AG28" i="6"/>
  <c r="AH28" i="6"/>
  <c r="Y29" i="6"/>
  <c r="Z29" i="6"/>
  <c r="AA29" i="6"/>
  <c r="AB29" i="6"/>
  <c r="Y30" i="6"/>
  <c r="Z30" i="6"/>
  <c r="AA30" i="6"/>
  <c r="AB30" i="6"/>
  <c r="AD30" i="6"/>
  <c r="AE30" i="6"/>
  <c r="AF30" i="6"/>
  <c r="AG30" i="6"/>
  <c r="AH30" i="6"/>
  <c r="Y31" i="6"/>
  <c r="Z31" i="6"/>
  <c r="AA31" i="6"/>
  <c r="AB31" i="6"/>
  <c r="AD31" i="6"/>
  <c r="AE31" i="6"/>
  <c r="AF31" i="6"/>
  <c r="AG31" i="6"/>
  <c r="AH31" i="6"/>
  <c r="H23" i="6"/>
  <c r="H24" i="6"/>
  <c r="H25" i="6"/>
  <c r="H27" i="6"/>
  <c r="H28" i="6"/>
  <c r="H29" i="6"/>
  <c r="H30" i="6"/>
  <c r="H31" i="6"/>
  <c r="H22" i="6"/>
  <c r="H26" i="6" s="1"/>
  <c r="W21" i="4"/>
  <c r="X21" i="4"/>
  <c r="Y21" i="4"/>
  <c r="Z21" i="4"/>
  <c r="W22" i="4"/>
  <c r="X22" i="4"/>
  <c r="Y22" i="4"/>
  <c r="Z22" i="4"/>
  <c r="W23" i="4"/>
  <c r="X23" i="4"/>
  <c r="Y23" i="4"/>
  <c r="Z23" i="4"/>
  <c r="W24" i="4"/>
  <c r="X24" i="4"/>
  <c r="Y24" i="4"/>
  <c r="Z24" i="4"/>
  <c r="W25" i="4"/>
  <c r="X25" i="4"/>
  <c r="Y25" i="4"/>
  <c r="Z25" i="4"/>
  <c r="W27" i="4"/>
  <c r="X27" i="4"/>
  <c r="Y27" i="4"/>
  <c r="Z27" i="4"/>
  <c r="W28" i="4"/>
  <c r="X28" i="4"/>
  <c r="Y28" i="4"/>
  <c r="Z28" i="4"/>
  <c r="W29" i="4"/>
  <c r="X29" i="4"/>
  <c r="Y29" i="4"/>
  <c r="Z29" i="4"/>
  <c r="W30" i="4"/>
  <c r="X30" i="4"/>
  <c r="Y30" i="4"/>
  <c r="Z30" i="4"/>
  <c r="W31" i="4"/>
  <c r="X31" i="4"/>
  <c r="Y31" i="4"/>
  <c r="Z31" i="4"/>
  <c r="Z13" i="4"/>
  <c r="Y13" i="4"/>
  <c r="X13" i="4"/>
  <c r="W13" i="4"/>
  <c r="BP61" i="2"/>
  <c r="BQ61" i="2"/>
  <c r="BR61" i="2"/>
  <c r="BS61" i="2"/>
  <c r="BT61" i="2"/>
  <c r="BU61" i="2"/>
  <c r="BV61" i="2"/>
  <c r="BW61" i="2"/>
  <c r="BX61" i="2"/>
  <c r="BY61" i="2"/>
  <c r="BZ61" i="2"/>
  <c r="CA61" i="2"/>
  <c r="CB61" i="2"/>
  <c r="CC61" i="2"/>
  <c r="BP62" i="2"/>
  <c r="BQ62" i="2"/>
  <c r="BQ65" i="2" s="1"/>
  <c r="BR62" i="2"/>
  <c r="BR65" i="2" s="1"/>
  <c r="BS62" i="2"/>
  <c r="BT62" i="2"/>
  <c r="BT65" i="2" s="1"/>
  <c r="BU62" i="2"/>
  <c r="BU65" i="2" s="1"/>
  <c r="BV62" i="2"/>
  <c r="BV65" i="2" s="1"/>
  <c r="BW62" i="2"/>
  <c r="BX62" i="2"/>
  <c r="BY62" i="2"/>
  <c r="BY65" i="2" s="1"/>
  <c r="BZ62" i="2"/>
  <c r="CA62" i="2"/>
  <c r="CB62" i="2"/>
  <c r="CC62" i="2"/>
  <c r="CC65" i="2" s="1"/>
  <c r="BP63" i="2"/>
  <c r="BQ63" i="2"/>
  <c r="BR63" i="2"/>
  <c r="BS63" i="2"/>
  <c r="BT63" i="2"/>
  <c r="BU63" i="2"/>
  <c r="BV63" i="2"/>
  <c r="BW63" i="2"/>
  <c r="BX63" i="2"/>
  <c r="BY63" i="2"/>
  <c r="BZ63" i="2"/>
  <c r="CA63" i="2"/>
  <c r="CB63" i="2"/>
  <c r="CC63" i="2"/>
  <c r="BP64" i="2"/>
  <c r="BQ64" i="2"/>
  <c r="BR64" i="2"/>
  <c r="BS64" i="2"/>
  <c r="BT64" i="2"/>
  <c r="BU64" i="2"/>
  <c r="BV64" i="2"/>
  <c r="BW64" i="2"/>
  <c r="BX64" i="2"/>
  <c r="BY64" i="2"/>
  <c r="BZ64" i="2"/>
  <c r="CA64" i="2"/>
  <c r="CB64" i="2"/>
  <c r="CC64" i="2"/>
  <c r="BP65" i="2"/>
  <c r="BS65" i="2"/>
  <c r="BW65" i="2"/>
  <c r="BX65" i="2"/>
  <c r="BZ65" i="2"/>
  <c r="CA65" i="2"/>
  <c r="CB65" i="2"/>
  <c r="BP67" i="2"/>
  <c r="BQ67" i="2"/>
  <c r="BR67" i="2"/>
  <c r="BS67" i="2"/>
  <c r="BT67" i="2"/>
  <c r="BU67" i="2"/>
  <c r="BV67" i="2"/>
  <c r="BW67" i="2"/>
  <c r="BX67" i="2"/>
  <c r="BY67" i="2"/>
  <c r="BZ67" i="2"/>
  <c r="CA67" i="2"/>
  <c r="CB67" i="2"/>
  <c r="CC67" i="2"/>
  <c r="BP68" i="2"/>
  <c r="BQ68" i="2"/>
  <c r="BR68" i="2"/>
  <c r="BS68" i="2"/>
  <c r="BT68" i="2"/>
  <c r="BU68" i="2"/>
  <c r="BV68" i="2"/>
  <c r="BW68" i="2"/>
  <c r="BX68" i="2"/>
  <c r="BY68" i="2"/>
  <c r="BZ68" i="2"/>
  <c r="CA68" i="2"/>
  <c r="CB68" i="2"/>
  <c r="CC68" i="2"/>
  <c r="BP69" i="2"/>
  <c r="BQ69" i="2"/>
  <c r="BR69" i="2"/>
  <c r="BS69" i="2"/>
  <c r="BT69" i="2"/>
  <c r="BU69" i="2"/>
  <c r="BV69" i="2"/>
  <c r="BW69" i="2"/>
  <c r="BX69" i="2"/>
  <c r="BY69" i="2"/>
  <c r="BZ69" i="2"/>
  <c r="CA69" i="2"/>
  <c r="CB69" i="2"/>
  <c r="CC69" i="2"/>
  <c r="BP70" i="2"/>
  <c r="BQ70" i="2"/>
  <c r="BR70" i="2"/>
  <c r="BS70" i="2"/>
  <c r="BT70" i="2"/>
  <c r="BU70" i="2"/>
  <c r="BV70" i="2"/>
  <c r="BW70" i="2"/>
  <c r="BX70" i="2"/>
  <c r="BY70" i="2"/>
  <c r="BZ70" i="2"/>
  <c r="CA70" i="2"/>
  <c r="CB70" i="2"/>
  <c r="CC70" i="2"/>
  <c r="BP72" i="2"/>
  <c r="BQ72" i="2"/>
  <c r="BR72" i="2"/>
  <c r="BS72" i="2"/>
  <c r="BT72" i="2"/>
  <c r="BU72" i="2"/>
  <c r="BV72" i="2"/>
  <c r="BW72" i="2"/>
  <c r="BX72" i="2"/>
  <c r="BY72" i="2"/>
  <c r="BZ72" i="2"/>
  <c r="CA72" i="2"/>
  <c r="CB72" i="2"/>
  <c r="CC72" i="2"/>
  <c r="BP73" i="2"/>
  <c r="BQ73" i="2"/>
  <c r="BR73" i="2"/>
  <c r="BS73" i="2"/>
  <c r="BT73" i="2"/>
  <c r="BU73" i="2"/>
  <c r="BV73" i="2"/>
  <c r="BW73" i="2"/>
  <c r="BX73" i="2"/>
  <c r="BY73" i="2"/>
  <c r="BZ73" i="2"/>
  <c r="CA73" i="2"/>
  <c r="CB73" i="2"/>
  <c r="CC73" i="2"/>
  <c r="BP74" i="2"/>
  <c r="BQ74" i="2"/>
  <c r="BR74" i="2"/>
  <c r="BS74" i="2"/>
  <c r="BT74" i="2"/>
  <c r="BU74" i="2"/>
  <c r="BV74" i="2"/>
  <c r="BW74" i="2"/>
  <c r="BX74" i="2"/>
  <c r="BY74" i="2"/>
  <c r="BZ74" i="2"/>
  <c r="CA74" i="2"/>
  <c r="CB74" i="2"/>
  <c r="CC74" i="2"/>
  <c r="BO74" i="2"/>
  <c r="BN74" i="2"/>
  <c r="BM74" i="2"/>
  <c r="BL74" i="2"/>
  <c r="BK74" i="2"/>
  <c r="BJ74" i="2"/>
  <c r="BH74" i="2"/>
  <c r="BG74" i="2"/>
  <c r="BF74" i="2"/>
  <c r="BE74" i="2"/>
  <c r="BD74" i="2"/>
  <c r="BC74" i="2"/>
  <c r="BB74" i="2"/>
  <c r="BA74" i="2"/>
  <c r="AZ74" i="2"/>
  <c r="AY74" i="2"/>
  <c r="AX74" i="2"/>
  <c r="AW74" i="2"/>
  <c r="AU74" i="2"/>
  <c r="AT74" i="2"/>
  <c r="AS74" i="2"/>
  <c r="AR74" i="2"/>
  <c r="AQ74" i="2"/>
  <c r="AP74" i="2"/>
  <c r="AO74" i="2"/>
  <c r="AN74" i="2"/>
  <c r="AM74" i="2"/>
  <c r="AL74" i="2"/>
  <c r="AK74" i="2"/>
  <c r="AJ74" i="2"/>
  <c r="AI74" i="2"/>
  <c r="AH74" i="2"/>
  <c r="AG74" i="2"/>
  <c r="AF74" i="2"/>
  <c r="AE74" i="2"/>
  <c r="AD74" i="2"/>
  <c r="AC74" i="2"/>
  <c r="AB74" i="2"/>
  <c r="AA74" i="2"/>
  <c r="Z74" i="2"/>
  <c r="Y74" i="2"/>
  <c r="X74" i="2"/>
  <c r="W74" i="2"/>
  <c r="U74" i="2"/>
  <c r="T74" i="2"/>
  <c r="S74" i="2"/>
  <c r="R74" i="2"/>
  <c r="Q74" i="2"/>
  <c r="P74" i="2"/>
  <c r="O74" i="2"/>
  <c r="N74" i="2"/>
  <c r="M74" i="2"/>
  <c r="L74" i="2"/>
  <c r="K74" i="2"/>
  <c r="J74" i="2"/>
  <c r="H74" i="2"/>
  <c r="G74" i="2"/>
  <c r="F74" i="2"/>
  <c r="E74" i="2"/>
  <c r="D74" i="2"/>
  <c r="C74" i="2"/>
  <c r="BO73" i="2"/>
  <c r="BN73" i="2"/>
  <c r="BM73" i="2"/>
  <c r="BL73" i="2"/>
  <c r="BK73" i="2"/>
  <c r="BJ73" i="2"/>
  <c r="BH73" i="2"/>
  <c r="BG73" i="2"/>
  <c r="BF73" i="2"/>
  <c r="BE73" i="2"/>
  <c r="BD73" i="2"/>
  <c r="BC73" i="2"/>
  <c r="BB73" i="2"/>
  <c r="BA73" i="2"/>
  <c r="AZ73" i="2"/>
  <c r="AY73" i="2"/>
  <c r="AX73" i="2"/>
  <c r="AW73" i="2"/>
  <c r="AU73" i="2"/>
  <c r="AT73" i="2"/>
  <c r="AS73" i="2"/>
  <c r="AR73" i="2"/>
  <c r="AQ73" i="2"/>
  <c r="AP73" i="2"/>
  <c r="AO73" i="2"/>
  <c r="AN73" i="2"/>
  <c r="AM73" i="2"/>
  <c r="AL73" i="2"/>
  <c r="AK73" i="2"/>
  <c r="AJ73" i="2"/>
  <c r="AI73" i="2"/>
  <c r="AH73" i="2"/>
  <c r="AG73" i="2"/>
  <c r="AF73" i="2"/>
  <c r="AE73" i="2"/>
  <c r="AD73" i="2"/>
  <c r="AC73" i="2"/>
  <c r="AB73" i="2"/>
  <c r="AA73" i="2"/>
  <c r="Z73" i="2"/>
  <c r="Y73" i="2"/>
  <c r="X73" i="2"/>
  <c r="W73" i="2"/>
  <c r="U73" i="2"/>
  <c r="T73" i="2"/>
  <c r="S73" i="2"/>
  <c r="R73" i="2"/>
  <c r="Q73" i="2"/>
  <c r="P73" i="2"/>
  <c r="O73" i="2"/>
  <c r="N73" i="2"/>
  <c r="M73" i="2"/>
  <c r="L73" i="2"/>
  <c r="K73" i="2"/>
  <c r="J73" i="2"/>
  <c r="H73" i="2"/>
  <c r="G73" i="2"/>
  <c r="F73" i="2"/>
  <c r="E73" i="2"/>
  <c r="D73" i="2"/>
  <c r="C73" i="2"/>
  <c r="BO72" i="2"/>
  <c r="BN72" i="2"/>
  <c r="BM72" i="2"/>
  <c r="BL72" i="2"/>
  <c r="BK72" i="2"/>
  <c r="BJ72" i="2"/>
  <c r="BH72" i="2"/>
  <c r="BG72" i="2"/>
  <c r="BF72" i="2"/>
  <c r="BE72" i="2"/>
  <c r="BD72" i="2"/>
  <c r="BC72" i="2"/>
  <c r="BB72" i="2"/>
  <c r="BA72" i="2"/>
  <c r="AZ72" i="2"/>
  <c r="AY72" i="2"/>
  <c r="AX72" i="2"/>
  <c r="AW72" i="2"/>
  <c r="AU72" i="2"/>
  <c r="AT72" i="2"/>
  <c r="AS72" i="2"/>
  <c r="AR72" i="2"/>
  <c r="AQ72" i="2"/>
  <c r="AP72" i="2"/>
  <c r="AO72" i="2"/>
  <c r="AN72" i="2"/>
  <c r="AM72" i="2"/>
  <c r="AL72" i="2"/>
  <c r="AK72" i="2"/>
  <c r="AJ72" i="2"/>
  <c r="AI72" i="2"/>
  <c r="AH72" i="2"/>
  <c r="AG72" i="2"/>
  <c r="AF72" i="2"/>
  <c r="AE72" i="2"/>
  <c r="AD72" i="2"/>
  <c r="AC72" i="2"/>
  <c r="AB72" i="2"/>
  <c r="AA72" i="2"/>
  <c r="Z72" i="2"/>
  <c r="Y72" i="2"/>
  <c r="X72" i="2"/>
  <c r="W72" i="2"/>
  <c r="U72" i="2"/>
  <c r="T72" i="2"/>
  <c r="S72" i="2"/>
  <c r="R72" i="2"/>
  <c r="Q72" i="2"/>
  <c r="P72" i="2"/>
  <c r="O72" i="2"/>
  <c r="N72" i="2"/>
  <c r="M72" i="2"/>
  <c r="L72" i="2"/>
  <c r="K72" i="2"/>
  <c r="J72" i="2"/>
  <c r="H72" i="2"/>
  <c r="G72" i="2"/>
  <c r="F72" i="2"/>
  <c r="E72" i="2"/>
  <c r="D72" i="2"/>
  <c r="C72" i="2"/>
  <c r="BO71" i="2"/>
  <c r="BN71" i="2"/>
  <c r="BL71" i="2"/>
  <c r="BK71" i="2"/>
  <c r="BJ71" i="2"/>
  <c r="BH71" i="2"/>
  <c r="BG71" i="2"/>
  <c r="BF71" i="2"/>
  <c r="BC71" i="2"/>
  <c r="BB71" i="2"/>
  <c r="BA71" i="2"/>
  <c r="AY71" i="2"/>
  <c r="AX71" i="2"/>
  <c r="AW71" i="2"/>
  <c r="AU71" i="2"/>
  <c r="AT71" i="2"/>
  <c r="AS71" i="2"/>
  <c r="AQ71" i="2"/>
  <c r="AO71" i="2"/>
  <c r="AN71" i="2"/>
  <c r="AL71" i="2"/>
  <c r="AK71" i="2"/>
  <c r="AJ71" i="2"/>
  <c r="AI71" i="2"/>
  <c r="AH71" i="2"/>
  <c r="AG71" i="2"/>
  <c r="AF71" i="2"/>
  <c r="AD71" i="2"/>
  <c r="AB71" i="2"/>
  <c r="AA71" i="2"/>
  <c r="Z71" i="2"/>
  <c r="W71" i="2"/>
  <c r="T71" i="2"/>
  <c r="S71" i="2"/>
  <c r="Q71" i="2"/>
  <c r="O71" i="2"/>
  <c r="N71" i="2"/>
  <c r="M71" i="2"/>
  <c r="L71" i="2"/>
  <c r="K71" i="2"/>
  <c r="J71" i="2"/>
  <c r="H71" i="2"/>
  <c r="G71" i="2"/>
  <c r="F71" i="2"/>
  <c r="E71" i="2"/>
  <c r="D71" i="2"/>
  <c r="BM70" i="2"/>
  <c r="BL70" i="2"/>
  <c r="BK70" i="2"/>
  <c r="BJ70" i="2"/>
  <c r="BH70" i="2"/>
  <c r="BG70" i="2"/>
  <c r="BF70" i="2"/>
  <c r="BC70" i="2"/>
  <c r="BB70" i="2"/>
  <c r="AZ70" i="2"/>
  <c r="AY70" i="2"/>
  <c r="AX70" i="2"/>
  <c r="AW70" i="2"/>
  <c r="AU70" i="2"/>
  <c r="AT70" i="2"/>
  <c r="AS70" i="2"/>
  <c r="AN70" i="2"/>
  <c r="AM70" i="2"/>
  <c r="AL70" i="2"/>
  <c r="AK70" i="2"/>
  <c r="AJ70" i="2"/>
  <c r="AI70" i="2"/>
  <c r="AH70" i="2"/>
  <c r="AF70" i="2"/>
  <c r="Z70" i="2"/>
  <c r="Y70" i="2"/>
  <c r="X70" i="2"/>
  <c r="W70" i="2"/>
  <c r="U70" i="2"/>
  <c r="S70" i="2"/>
  <c r="L70" i="2"/>
  <c r="K70" i="2"/>
  <c r="J70" i="2"/>
  <c r="H70" i="2"/>
  <c r="G70" i="2"/>
  <c r="F70" i="2"/>
  <c r="BO69" i="2"/>
  <c r="BN69" i="2"/>
  <c r="BM69" i="2"/>
  <c r="BL69" i="2"/>
  <c r="BK69" i="2"/>
  <c r="BJ69" i="2"/>
  <c r="BH69" i="2"/>
  <c r="BG69" i="2"/>
  <c r="BF69" i="2"/>
  <c r="BE69" i="2"/>
  <c r="BD69" i="2"/>
  <c r="BC69" i="2"/>
  <c r="BB69" i="2"/>
  <c r="BA69" i="2"/>
  <c r="AZ69" i="2"/>
  <c r="AY69" i="2"/>
  <c r="AX69" i="2"/>
  <c r="AW69" i="2"/>
  <c r="AU69" i="2"/>
  <c r="AT69" i="2"/>
  <c r="AS69" i="2"/>
  <c r="AR69" i="2"/>
  <c r="AQ69" i="2"/>
  <c r="AP69" i="2"/>
  <c r="AO69" i="2"/>
  <c r="AN69" i="2"/>
  <c r="AM69" i="2"/>
  <c r="AL69" i="2"/>
  <c r="AK69" i="2"/>
  <c r="AJ69" i="2"/>
  <c r="AI69" i="2"/>
  <c r="AH69" i="2"/>
  <c r="AG69" i="2"/>
  <c r="AF69" i="2"/>
  <c r="AE69" i="2"/>
  <c r="AD69" i="2"/>
  <c r="AC69" i="2"/>
  <c r="AB69" i="2"/>
  <c r="AA69" i="2"/>
  <c r="Z69" i="2"/>
  <c r="Y69" i="2"/>
  <c r="X69" i="2"/>
  <c r="W69" i="2"/>
  <c r="U69" i="2"/>
  <c r="T69" i="2"/>
  <c r="S69" i="2"/>
  <c r="R69" i="2"/>
  <c r="Q69" i="2"/>
  <c r="P69" i="2"/>
  <c r="O69" i="2"/>
  <c r="N69" i="2"/>
  <c r="M69" i="2"/>
  <c r="L69" i="2"/>
  <c r="K69" i="2"/>
  <c r="J69" i="2"/>
  <c r="H69" i="2"/>
  <c r="G69" i="2"/>
  <c r="F69" i="2"/>
  <c r="E69" i="2"/>
  <c r="D69" i="2"/>
  <c r="C69" i="2"/>
  <c r="BO68" i="2"/>
  <c r="BM68" i="2"/>
  <c r="BL68" i="2"/>
  <c r="BK68" i="2"/>
  <c r="BJ68" i="2"/>
  <c r="BH68" i="2"/>
  <c r="BG68" i="2"/>
  <c r="BF68" i="2"/>
  <c r="BE68" i="2"/>
  <c r="BD68" i="2"/>
  <c r="BC68" i="2"/>
  <c r="BB68" i="2"/>
  <c r="AZ68" i="2"/>
  <c r="AY68" i="2"/>
  <c r="AX68" i="2"/>
  <c r="AW68" i="2"/>
  <c r="AU68" i="2"/>
  <c r="AT68" i="2"/>
  <c r="AS68" i="2"/>
  <c r="AR68" i="2"/>
  <c r="AQ68" i="2"/>
  <c r="AP68" i="2"/>
  <c r="AO68" i="2"/>
  <c r="AM68" i="2"/>
  <c r="AL68" i="2"/>
  <c r="AK68" i="2"/>
  <c r="AJ68" i="2"/>
  <c r="AI68" i="2"/>
  <c r="AH68" i="2"/>
  <c r="AG68" i="2"/>
  <c r="AF68" i="2"/>
  <c r="AE68" i="2"/>
  <c r="AD68" i="2"/>
  <c r="AC68" i="2"/>
  <c r="AB68" i="2"/>
  <c r="Z68" i="2"/>
  <c r="Y68" i="2"/>
  <c r="X68" i="2"/>
  <c r="W68" i="2"/>
  <c r="U68" i="2"/>
  <c r="T68" i="2"/>
  <c r="S68" i="2"/>
  <c r="R68" i="2"/>
  <c r="Q68" i="2"/>
  <c r="P68" i="2"/>
  <c r="O68" i="2"/>
  <c r="N68" i="2"/>
  <c r="M68" i="2"/>
  <c r="L68" i="2"/>
  <c r="K68" i="2"/>
  <c r="J68" i="2"/>
  <c r="H68" i="2"/>
  <c r="G68" i="2"/>
  <c r="F68" i="2"/>
  <c r="E68" i="2"/>
  <c r="D68" i="2"/>
  <c r="C68" i="2"/>
  <c r="BO67" i="2"/>
  <c r="BN67" i="2"/>
  <c r="BM67" i="2"/>
  <c r="BL67" i="2"/>
  <c r="BK67" i="2"/>
  <c r="BJ67" i="2"/>
  <c r="BH67" i="2"/>
  <c r="BG67" i="2"/>
  <c r="BF67" i="2"/>
  <c r="BE67" i="2"/>
  <c r="BD67" i="2"/>
  <c r="BC67" i="2"/>
  <c r="BB67" i="2"/>
  <c r="BA67" i="2"/>
  <c r="AZ67" i="2"/>
  <c r="AY67" i="2"/>
  <c r="AX67" i="2"/>
  <c r="AW67" i="2"/>
  <c r="AU67" i="2"/>
  <c r="AT67" i="2"/>
  <c r="AS67" i="2"/>
  <c r="AR67" i="2"/>
  <c r="AQ67" i="2"/>
  <c r="AP67" i="2"/>
  <c r="AO67" i="2"/>
  <c r="AN67" i="2"/>
  <c r="AM67" i="2"/>
  <c r="AL67" i="2"/>
  <c r="AK67" i="2"/>
  <c r="AJ67" i="2"/>
  <c r="AI67" i="2"/>
  <c r="AH67" i="2"/>
  <c r="AG67" i="2"/>
  <c r="AF67" i="2"/>
  <c r="AE67" i="2"/>
  <c r="AD67" i="2"/>
  <c r="AC67" i="2"/>
  <c r="AB67" i="2"/>
  <c r="AA67" i="2"/>
  <c r="Z67" i="2"/>
  <c r="Y67" i="2"/>
  <c r="X67" i="2"/>
  <c r="W67" i="2"/>
  <c r="U67" i="2"/>
  <c r="T67" i="2"/>
  <c r="S67" i="2"/>
  <c r="R67" i="2"/>
  <c r="Q67" i="2"/>
  <c r="P67" i="2"/>
  <c r="O67" i="2"/>
  <c r="N67" i="2"/>
  <c r="M67" i="2"/>
  <c r="L67" i="2"/>
  <c r="K67" i="2"/>
  <c r="J67" i="2"/>
  <c r="H67" i="2"/>
  <c r="G67" i="2"/>
  <c r="F67" i="2"/>
  <c r="E67" i="2"/>
  <c r="D67" i="2"/>
  <c r="C67" i="2"/>
  <c r="BM65" i="2"/>
  <c r="BL65" i="2"/>
  <c r="BJ65" i="2"/>
  <c r="BH65" i="2"/>
  <c r="AZ65" i="2"/>
  <c r="AY65" i="2"/>
  <c r="AW65" i="2"/>
  <c r="AU65" i="2"/>
  <c r="AM65" i="2"/>
  <c r="AL65" i="2"/>
  <c r="AJ65" i="2"/>
  <c r="AI65" i="2"/>
  <c r="AB65" i="2"/>
  <c r="Z65" i="2"/>
  <c r="X65" i="2"/>
  <c r="W65" i="2"/>
  <c r="O65" i="2"/>
  <c r="N65" i="2"/>
  <c r="M65" i="2"/>
  <c r="K65" i="2"/>
  <c r="J65" i="2"/>
  <c r="BO64" i="2"/>
  <c r="BN64" i="2"/>
  <c r="BM64" i="2"/>
  <c r="BL64" i="2"/>
  <c r="BK64" i="2"/>
  <c r="BJ64" i="2"/>
  <c r="BH64" i="2"/>
  <c r="BG64" i="2"/>
  <c r="BF64" i="2"/>
  <c r="BE64" i="2"/>
  <c r="BD64" i="2"/>
  <c r="BC64" i="2"/>
  <c r="BB64" i="2"/>
  <c r="BA64" i="2"/>
  <c r="AZ64" i="2"/>
  <c r="AY64" i="2"/>
  <c r="AX64" i="2"/>
  <c r="AW64" i="2"/>
  <c r="AU64" i="2"/>
  <c r="AT64" i="2"/>
  <c r="AS64" i="2"/>
  <c r="AR64" i="2"/>
  <c r="AQ64" i="2"/>
  <c r="AP64" i="2"/>
  <c r="AO64" i="2"/>
  <c r="AM64" i="2"/>
  <c r="AL64" i="2"/>
  <c r="AK64" i="2"/>
  <c r="AJ64" i="2"/>
  <c r="AI64" i="2"/>
  <c r="AH64" i="2"/>
  <c r="AG64" i="2"/>
  <c r="AF64" i="2"/>
  <c r="AE64" i="2"/>
  <c r="AD64" i="2"/>
  <c r="AC64" i="2"/>
  <c r="AB64" i="2"/>
  <c r="Z64" i="2"/>
  <c r="Y64" i="2"/>
  <c r="X64" i="2"/>
  <c r="W64" i="2"/>
  <c r="U64" i="2"/>
  <c r="T64" i="2"/>
  <c r="S64" i="2"/>
  <c r="R64" i="2"/>
  <c r="Q64" i="2"/>
  <c r="P64" i="2"/>
  <c r="O64" i="2"/>
  <c r="N64" i="2"/>
  <c r="M64" i="2"/>
  <c r="L64" i="2"/>
  <c r="K64" i="2"/>
  <c r="J64" i="2"/>
  <c r="H64" i="2"/>
  <c r="G64" i="2"/>
  <c r="F64" i="2"/>
  <c r="E64" i="2"/>
  <c r="D64" i="2"/>
  <c r="C64" i="2"/>
  <c r="BO63" i="2"/>
  <c r="BN63" i="2"/>
  <c r="BF63" i="2"/>
  <c r="BC63" i="2"/>
  <c r="BB63" i="2"/>
  <c r="BA63" i="2"/>
  <c r="AX63" i="2"/>
  <c r="AS63" i="2"/>
  <c r="AN63" i="2"/>
  <c r="AK63" i="2"/>
  <c r="AJ63" i="2"/>
  <c r="AI63" i="2"/>
  <c r="AF63" i="2"/>
  <c r="AE63" i="2"/>
  <c r="AD63" i="2"/>
  <c r="AC63" i="2"/>
  <c r="AB63" i="2"/>
  <c r="Z63" i="2"/>
  <c r="Y63" i="2"/>
  <c r="U63" i="2"/>
  <c r="T63" i="2"/>
  <c r="S63" i="2"/>
  <c r="R63" i="2"/>
  <c r="Q63" i="2"/>
  <c r="P63" i="2"/>
  <c r="O63" i="2"/>
  <c r="L63" i="2"/>
  <c r="J63" i="2"/>
  <c r="G63" i="2"/>
  <c r="F63" i="2"/>
  <c r="E63" i="2"/>
  <c r="D63" i="2"/>
  <c r="C63" i="2"/>
  <c r="BO62" i="2"/>
  <c r="BO65" i="2" s="1"/>
  <c r="BM62" i="2"/>
  <c r="BL62" i="2"/>
  <c r="BK62" i="2"/>
  <c r="BK65" i="2" s="1"/>
  <c r="BJ62" i="2"/>
  <c r="BH62" i="2"/>
  <c r="BG62" i="2"/>
  <c r="BG65" i="2" s="1"/>
  <c r="BF62" i="2"/>
  <c r="BF65" i="2" s="1"/>
  <c r="BE62" i="2"/>
  <c r="BE65" i="2" s="1"/>
  <c r="BD62" i="2"/>
  <c r="BD65" i="2" s="1"/>
  <c r="BC62" i="2"/>
  <c r="BC65" i="2" s="1"/>
  <c r="BB62" i="2"/>
  <c r="BB65" i="2" s="1"/>
  <c r="AZ62" i="2"/>
  <c r="AY62" i="2"/>
  <c r="AX62" i="2"/>
  <c r="AX65" i="2" s="1"/>
  <c r="AW62" i="2"/>
  <c r="AU62" i="2"/>
  <c r="AT62" i="2"/>
  <c r="AT65" i="2" s="1"/>
  <c r="AS62" i="2"/>
  <c r="AS65" i="2" s="1"/>
  <c r="AR62" i="2"/>
  <c r="AR65" i="2" s="1"/>
  <c r="AQ62" i="2"/>
  <c r="AQ65" i="2" s="1"/>
  <c r="AP62" i="2"/>
  <c r="AP65" i="2" s="1"/>
  <c r="AO62" i="2"/>
  <c r="AO65" i="2" s="1"/>
  <c r="AM62" i="2"/>
  <c r="AL62" i="2"/>
  <c r="AK62" i="2"/>
  <c r="AK65" i="2" s="1"/>
  <c r="AJ62" i="2"/>
  <c r="AI62" i="2"/>
  <c r="AH62" i="2"/>
  <c r="AH65" i="2" s="1"/>
  <c r="AG62" i="2"/>
  <c r="AG65" i="2" s="1"/>
  <c r="AF62" i="2"/>
  <c r="AF65" i="2" s="1"/>
  <c r="AE62" i="2"/>
  <c r="AE65" i="2" s="1"/>
  <c r="AD62" i="2"/>
  <c r="AD65" i="2" s="1"/>
  <c r="AC62" i="2"/>
  <c r="AC65" i="2" s="1"/>
  <c r="AB62" i="2"/>
  <c r="Z62" i="2"/>
  <c r="Y62" i="2"/>
  <c r="Y65" i="2" s="1"/>
  <c r="X62" i="2"/>
  <c r="W62" i="2"/>
  <c r="U62" i="2"/>
  <c r="U65" i="2" s="1"/>
  <c r="T62" i="2"/>
  <c r="T65" i="2" s="1"/>
  <c r="S62" i="2"/>
  <c r="S65" i="2" s="1"/>
  <c r="R62" i="2"/>
  <c r="R65" i="2" s="1"/>
  <c r="Q62" i="2"/>
  <c r="Q65" i="2" s="1"/>
  <c r="P62" i="2"/>
  <c r="P65" i="2" s="1"/>
  <c r="O62" i="2"/>
  <c r="N62" i="2"/>
  <c r="M62" i="2"/>
  <c r="L62" i="2"/>
  <c r="L65" i="2" s="1"/>
  <c r="K62" i="2"/>
  <c r="J62" i="2"/>
  <c r="H62" i="2"/>
  <c r="H65" i="2" s="1"/>
  <c r="G62" i="2"/>
  <c r="G65" i="2" s="1"/>
  <c r="F62" i="2"/>
  <c r="F65" i="2" s="1"/>
  <c r="E62" i="2"/>
  <c r="E65" i="2" s="1"/>
  <c r="D62" i="2"/>
  <c r="D65" i="2" s="1"/>
  <c r="C62" i="2"/>
  <c r="C65" i="2" s="1"/>
  <c r="BO61" i="2"/>
  <c r="BN61" i="2"/>
  <c r="BM61" i="2"/>
  <c r="BL61" i="2"/>
  <c r="BK61" i="2"/>
  <c r="BJ61" i="2"/>
  <c r="BH61" i="2"/>
  <c r="BG61" i="2"/>
  <c r="BF61" i="2"/>
  <c r="BE61" i="2"/>
  <c r="BD61" i="2"/>
  <c r="BC61" i="2"/>
  <c r="BB61" i="2"/>
  <c r="BA61" i="2"/>
  <c r="AZ61" i="2"/>
  <c r="AY61" i="2"/>
  <c r="AX61" i="2"/>
  <c r="AW61" i="2"/>
  <c r="AU61" i="2"/>
  <c r="AT61" i="2"/>
  <c r="AS61" i="2"/>
  <c r="AR61" i="2"/>
  <c r="AQ61" i="2"/>
  <c r="AP61" i="2"/>
  <c r="AO61" i="2"/>
  <c r="AN61" i="2"/>
  <c r="AM61" i="2"/>
  <c r="AL61" i="2"/>
  <c r="AK61" i="2"/>
  <c r="AJ61" i="2"/>
  <c r="AI61" i="2"/>
  <c r="AH61" i="2"/>
  <c r="AG61" i="2"/>
  <c r="AF61" i="2"/>
  <c r="AE61" i="2"/>
  <c r="AD61" i="2"/>
  <c r="AC61" i="2"/>
  <c r="AB61" i="2"/>
  <c r="AA61" i="2"/>
  <c r="Z61" i="2"/>
  <c r="Y61" i="2"/>
  <c r="X61" i="2"/>
  <c r="W61" i="2"/>
  <c r="U61" i="2"/>
  <c r="T61" i="2"/>
  <c r="S61" i="2"/>
  <c r="R61" i="2"/>
  <c r="Q61" i="2"/>
  <c r="P61" i="2"/>
  <c r="O61" i="2"/>
  <c r="N61" i="2"/>
  <c r="M61" i="2"/>
  <c r="L61" i="2"/>
  <c r="K61" i="2"/>
  <c r="J61" i="2"/>
  <c r="H61" i="2"/>
  <c r="G61" i="2"/>
  <c r="F61" i="2"/>
  <c r="E61" i="2"/>
  <c r="D61" i="2"/>
  <c r="C61" i="2"/>
  <c r="BE22" i="2"/>
  <c r="BM18" i="2"/>
  <c r="BM71" i="2" s="1"/>
  <c r="BL18" i="2"/>
  <c r="BK18" i="2"/>
  <c r="BJ18" i="2"/>
  <c r="BI18" i="2"/>
  <c r="BH18" i="2"/>
  <c r="BG18" i="2"/>
  <c r="BF18" i="2"/>
  <c r="BE18" i="2"/>
  <c r="BE71" i="2" s="1"/>
  <c r="BD18" i="2"/>
  <c r="BD71" i="2" s="1"/>
  <c r="BC18" i="2"/>
  <c r="AZ18" i="2"/>
  <c r="AZ71" i="2" s="1"/>
  <c r="AY18" i="2"/>
  <c r="AX18" i="2"/>
  <c r="AW18" i="2"/>
  <c r="AV18" i="2"/>
  <c r="AU18" i="2"/>
  <c r="AT18" i="2"/>
  <c r="AS18" i="2"/>
  <c r="AR18" i="2"/>
  <c r="AR71" i="2" s="1"/>
  <c r="AP18" i="2"/>
  <c r="AP71" i="2" s="1"/>
  <c r="AM18" i="2"/>
  <c r="AM71" i="2" s="1"/>
  <c r="AL18" i="2"/>
  <c r="AK18" i="2"/>
  <c r="AJ18" i="2"/>
  <c r="AI18" i="2"/>
  <c r="AH18" i="2"/>
  <c r="AG18" i="2"/>
  <c r="AE18" i="2"/>
  <c r="AE71" i="2" s="1"/>
  <c r="AC18" i="2"/>
  <c r="AC71" i="2" s="1"/>
  <c r="Y18" i="2"/>
  <c r="Y71" i="2" s="1"/>
  <c r="X18" i="2"/>
  <c r="X71" i="2" s="1"/>
  <c r="V18" i="2"/>
  <c r="U18" i="2"/>
  <c r="U71" i="2" s="1"/>
  <c r="T18" i="2"/>
  <c r="R18" i="2"/>
  <c r="R71" i="2" s="1"/>
  <c r="P18" i="2"/>
  <c r="P71" i="2" s="1"/>
  <c r="L18" i="2"/>
  <c r="K18" i="2"/>
  <c r="I18" i="2"/>
  <c r="C18" i="2"/>
  <c r="C71" i="2" s="1"/>
  <c r="BQ17" i="2"/>
  <c r="BN17" i="2"/>
  <c r="BN62" i="2" s="1"/>
  <c r="BN65" i="2" s="1"/>
  <c r="BA17" i="2"/>
  <c r="BA62" i="2" s="1"/>
  <c r="BA65" i="2" s="1"/>
  <c r="AN17" i="2"/>
  <c r="AN62" i="2" s="1"/>
  <c r="AN65" i="2" s="1"/>
  <c r="AA17" i="2"/>
  <c r="AA62" i="2" s="1"/>
  <c r="AA65" i="2" s="1"/>
  <c r="N17" i="2"/>
  <c r="CC13" i="2"/>
  <c r="BO13" i="2"/>
  <c r="BO70" i="2" s="1"/>
  <c r="BN13" i="2"/>
  <c r="BN70" i="2" s="1"/>
  <c r="BM13" i="2"/>
  <c r="BM63" i="2" s="1"/>
  <c r="BL13" i="2"/>
  <c r="BL63" i="2" s="1"/>
  <c r="BK13" i="2"/>
  <c r="BK63" i="2" s="1"/>
  <c r="BJ13" i="2"/>
  <c r="BJ63" i="2" s="1"/>
  <c r="BH13" i="2"/>
  <c r="BH63" i="2" s="1"/>
  <c r="BG13" i="2"/>
  <c r="BG63" i="2" s="1"/>
  <c r="BE13" i="2"/>
  <c r="BE70" i="2" s="1"/>
  <c r="BD13" i="2"/>
  <c r="BD70" i="2" s="1"/>
  <c r="BC13" i="2"/>
  <c r="BA13" i="2"/>
  <c r="BA70" i="2" s="1"/>
  <c r="AZ13" i="2"/>
  <c r="AZ63" i="2" s="1"/>
  <c r="AY13" i="2"/>
  <c r="AY63" i="2" s="1"/>
  <c r="AX13" i="2"/>
  <c r="AW13" i="2"/>
  <c r="AW63" i="2" s="1"/>
  <c r="AU13" i="2"/>
  <c r="AU63" i="2" s="1"/>
  <c r="AT13" i="2"/>
  <c r="AT63" i="2" s="1"/>
  <c r="AR13" i="2"/>
  <c r="AR70" i="2" s="1"/>
  <c r="AQ13" i="2"/>
  <c r="AQ63" i="2" s="1"/>
  <c r="AP13" i="2"/>
  <c r="AP63" i="2" s="1"/>
  <c r="AO13" i="2"/>
  <c r="AO70" i="2" s="1"/>
  <c r="AN13" i="2"/>
  <c r="AM13" i="2"/>
  <c r="AM63" i="2" s="1"/>
  <c r="AL13" i="2"/>
  <c r="AL63" i="2" s="1"/>
  <c r="AK13" i="2"/>
  <c r="AJ13" i="2"/>
  <c r="AH13" i="2"/>
  <c r="AH63" i="2" s="1"/>
  <c r="AG13" i="2"/>
  <c r="AG70" i="2" s="1"/>
  <c r="AE13" i="2"/>
  <c r="AE70" i="2" s="1"/>
  <c r="AD13" i="2"/>
  <c r="AD70" i="2" s="1"/>
  <c r="AC13" i="2"/>
  <c r="AC70" i="2" s="1"/>
  <c r="AB13" i="2"/>
  <c r="AB70" i="2" s="1"/>
  <c r="AA13" i="2"/>
  <c r="AA63" i="2" s="1"/>
  <c r="Z13" i="2"/>
  <c r="Y13" i="2"/>
  <c r="X13" i="2"/>
  <c r="X63" i="2" s="1"/>
  <c r="W13" i="2"/>
  <c r="W63" i="2" s="1"/>
  <c r="U13" i="2"/>
  <c r="T13" i="2"/>
  <c r="T70" i="2" s="1"/>
  <c r="R13" i="2"/>
  <c r="R70" i="2" s="1"/>
  <c r="Q13" i="2"/>
  <c r="Q70" i="2" s="1"/>
  <c r="P13" i="2"/>
  <c r="P70" i="2" s="1"/>
  <c r="O13" i="2"/>
  <c r="O70" i="2" s="1"/>
  <c r="N13" i="2"/>
  <c r="N63" i="2" s="1"/>
  <c r="M13" i="2"/>
  <c r="M63" i="2" s="1"/>
  <c r="L13" i="2"/>
  <c r="K13" i="2"/>
  <c r="K63" i="2" s="1"/>
  <c r="H13" i="2"/>
  <c r="H63" i="2" s="1"/>
  <c r="E13" i="2"/>
  <c r="E70" i="2" s="1"/>
  <c r="D13" i="2"/>
  <c r="D70" i="2" s="1"/>
  <c r="C13" i="2"/>
  <c r="C70" i="2" s="1"/>
  <c r="CD29" i="1"/>
  <c r="CD28" i="1"/>
  <c r="CD27" i="1"/>
  <c r="CD36" i="1" s="1"/>
  <c r="BS17" i="1"/>
  <c r="BS38" i="1"/>
  <c r="BT46" i="1"/>
  <c r="CB45" i="1"/>
  <c r="BS42" i="1"/>
  <c r="BV41" i="1"/>
  <c r="BT38" i="1"/>
  <c r="BT36" i="1"/>
  <c r="BS36" i="1"/>
  <c r="BT34" i="1"/>
  <c r="CC29" i="1"/>
  <c r="CB29" i="1"/>
  <c r="CA29" i="1"/>
  <c r="BZ29" i="1"/>
  <c r="BY29" i="1"/>
  <c r="BX29" i="1"/>
  <c r="BW29" i="1"/>
  <c r="BV29" i="1"/>
  <c r="BU29" i="1"/>
  <c r="BT29" i="1"/>
  <c r="BS29" i="1"/>
  <c r="BR29" i="1"/>
  <c r="BQ29" i="1"/>
  <c r="BP28" i="1"/>
  <c r="BP27" i="1"/>
  <c r="BP29" i="1" s="1"/>
  <c r="CD23" i="1"/>
  <c r="CD22" i="1"/>
  <c r="CD21" i="1"/>
  <c r="CD20" i="1"/>
  <c r="CD19" i="1"/>
  <c r="CD18" i="1"/>
  <c r="CC17" i="1"/>
  <c r="CB17" i="1"/>
  <c r="CA17" i="1"/>
  <c r="BZ17" i="1"/>
  <c r="BZ45" i="1" s="1"/>
  <c r="BY17" i="1"/>
  <c r="BY45" i="1" s="1"/>
  <c r="BX17" i="1"/>
  <c r="BX45" i="1" s="1"/>
  <c r="BW17" i="1"/>
  <c r="BW32" i="1" s="1"/>
  <c r="BV17" i="1"/>
  <c r="BV32" i="1" s="1"/>
  <c r="BU17" i="1"/>
  <c r="BU45" i="1" s="1"/>
  <c r="BT17" i="1"/>
  <c r="BT45" i="1" s="1"/>
  <c r="BR17" i="1"/>
  <c r="BQ17" i="1"/>
  <c r="BP17" i="1"/>
  <c r="CC16" i="1"/>
  <c r="CB16" i="1"/>
  <c r="CA16" i="1"/>
  <c r="BZ16" i="1"/>
  <c r="BY16" i="1"/>
  <c r="BX16" i="1"/>
  <c r="BW16" i="1"/>
  <c r="BV16" i="1"/>
  <c r="BU16" i="1"/>
  <c r="BT16" i="1"/>
  <c r="CD16" i="1" s="1"/>
  <c r="BS16" i="1"/>
  <c r="BR16" i="1"/>
  <c r="BQ16" i="1"/>
  <c r="BP16" i="1"/>
  <c r="CC15" i="1"/>
  <c r="CB15" i="1"/>
  <c r="CB36" i="1" s="1"/>
  <c r="CA15" i="1"/>
  <c r="CA37" i="1" s="1"/>
  <c r="BZ15" i="1"/>
  <c r="BZ37" i="1" s="1"/>
  <c r="BY15" i="1"/>
  <c r="BX15" i="1"/>
  <c r="BX36" i="1" s="1"/>
  <c r="BW15" i="1"/>
  <c r="BW36" i="1" s="1"/>
  <c r="BV15" i="1"/>
  <c r="BV36" i="1" s="1"/>
  <c r="BU15" i="1"/>
  <c r="BU37" i="1" s="1"/>
  <c r="BT15" i="1"/>
  <c r="BS15" i="1"/>
  <c r="BR15" i="1"/>
  <c r="BR37" i="1" s="1"/>
  <c r="BQ15" i="1"/>
  <c r="BP15" i="1"/>
  <c r="BP36" i="1" s="1"/>
  <c r="CC14" i="1"/>
  <c r="CB14" i="1"/>
  <c r="CB34" i="1" s="1"/>
  <c r="CA14" i="1"/>
  <c r="BZ14" i="1"/>
  <c r="BZ39" i="1" s="1"/>
  <c r="BY14" i="1"/>
  <c r="BY39" i="1" s="1"/>
  <c r="BX14" i="1"/>
  <c r="BX39" i="1" s="1"/>
  <c r="BW14" i="1"/>
  <c r="BW39" i="1" s="1"/>
  <c r="BV14" i="1"/>
  <c r="BV34" i="1" s="1"/>
  <c r="BU14" i="1"/>
  <c r="BU39" i="1" s="1"/>
  <c r="BT14" i="1"/>
  <c r="BS14" i="1"/>
  <c r="BR14" i="1"/>
  <c r="BQ14" i="1"/>
  <c r="BQ34" i="1" s="1"/>
  <c r="BP14" i="1"/>
  <c r="CC12" i="1"/>
  <c r="CB12" i="1"/>
  <c r="CA12" i="1"/>
  <c r="BZ12" i="1"/>
  <c r="BY12" i="1"/>
  <c r="BX12" i="1"/>
  <c r="BW12" i="1"/>
  <c r="BV12" i="1"/>
  <c r="BU12" i="1"/>
  <c r="BT12" i="1"/>
  <c r="BS12" i="1"/>
  <c r="BR12" i="1"/>
  <c r="BQ12" i="1"/>
  <c r="BQ13" i="1" s="1"/>
  <c r="BQ33" i="1" s="1"/>
  <c r="BP12" i="1"/>
  <c r="CC11" i="1"/>
  <c r="CB11" i="1"/>
  <c r="CA11" i="1"/>
  <c r="BZ11" i="1"/>
  <c r="BY11" i="1"/>
  <c r="BX11" i="1"/>
  <c r="BX13" i="1" s="1"/>
  <c r="BW11" i="1"/>
  <c r="BV11" i="1"/>
  <c r="BU11" i="1"/>
  <c r="BT11" i="1"/>
  <c r="CD11" i="1" s="1"/>
  <c r="BS11" i="1"/>
  <c r="BR11" i="1"/>
  <c r="BR13" i="1" s="1"/>
  <c r="BR33" i="1" s="1"/>
  <c r="BQ11" i="1"/>
  <c r="BP11" i="1"/>
  <c r="CC10" i="1"/>
  <c r="CC13" i="1" s="1"/>
  <c r="CC33" i="1" s="1"/>
  <c r="CB10" i="1"/>
  <c r="CA10" i="1"/>
  <c r="CA13" i="1" s="1"/>
  <c r="BZ10" i="1"/>
  <c r="BZ13" i="1" s="1"/>
  <c r="BY10" i="1"/>
  <c r="BY13" i="1" s="1"/>
  <c r="BX10" i="1"/>
  <c r="BW10" i="1"/>
  <c r="BV10" i="1"/>
  <c r="BV13" i="1" s="1"/>
  <c r="BU10" i="1"/>
  <c r="BU13" i="1" s="1"/>
  <c r="BT10" i="1"/>
  <c r="CD10" i="1" s="1"/>
  <c r="BS10" i="1"/>
  <c r="BR10" i="1"/>
  <c r="BQ10" i="1"/>
  <c r="BP10" i="1"/>
  <c r="CD9" i="1"/>
  <c r="CC9" i="1"/>
  <c r="CB9" i="1"/>
  <c r="CA9" i="1"/>
  <c r="BZ9" i="1"/>
  <c r="BY9" i="1"/>
  <c r="BX9" i="1"/>
  <c r="BW9" i="1"/>
  <c r="BV9" i="1"/>
  <c r="BU9" i="1"/>
  <c r="BT9" i="1"/>
  <c r="BS9" i="1"/>
  <c r="BR9" i="1"/>
  <c r="BQ9" i="1"/>
  <c r="BP9" i="1"/>
  <c r="CC8" i="1"/>
  <c r="CB8" i="1"/>
  <c r="CA8" i="1"/>
  <c r="BZ8" i="1"/>
  <c r="BY8" i="1"/>
  <c r="BX8" i="1"/>
  <c r="BW8" i="1"/>
  <c r="BV8" i="1"/>
  <c r="BU8" i="1"/>
  <c r="BT8" i="1"/>
  <c r="CD8" i="1" s="1"/>
  <c r="BS8" i="1"/>
  <c r="BR8" i="1"/>
  <c r="BQ8" i="1"/>
  <c r="BP8" i="1"/>
  <c r="CC7" i="1"/>
  <c r="CC46" i="1" s="1"/>
  <c r="CB7" i="1"/>
  <c r="CB46" i="1" s="1"/>
  <c r="CA7" i="1"/>
  <c r="CA46" i="1" s="1"/>
  <c r="BZ7" i="1"/>
  <c r="BZ31" i="1" s="1"/>
  <c r="BY7" i="1"/>
  <c r="BY42" i="1" s="1"/>
  <c r="BX7" i="1"/>
  <c r="BW7" i="1"/>
  <c r="BV7" i="1"/>
  <c r="BU7" i="1"/>
  <c r="BU42" i="1" s="1"/>
  <c r="BT7" i="1"/>
  <c r="CD7" i="1" s="1"/>
  <c r="BS7" i="1"/>
  <c r="BS46" i="1" s="1"/>
  <c r="BR7" i="1"/>
  <c r="BR46" i="1" s="1"/>
  <c r="BQ7" i="1"/>
  <c r="BQ46" i="1" s="1"/>
  <c r="BP7" i="1"/>
  <c r="BP46" i="1" s="1"/>
  <c r="CC6" i="1"/>
  <c r="CC41" i="1" s="1"/>
  <c r="CB6" i="1"/>
  <c r="CB41" i="1" s="1"/>
  <c r="CA6" i="1"/>
  <c r="CA41" i="1" s="1"/>
  <c r="BZ6" i="1"/>
  <c r="BZ38" i="1" s="1"/>
  <c r="BY6" i="1"/>
  <c r="BY38" i="1" s="1"/>
  <c r="BX6" i="1"/>
  <c r="BX41" i="1" s="1"/>
  <c r="BW6" i="1"/>
  <c r="BW41" i="1" s="1"/>
  <c r="BV6" i="1"/>
  <c r="BV39" i="1" s="1"/>
  <c r="BU6" i="1"/>
  <c r="BU41" i="1" s="1"/>
  <c r="BT6" i="1"/>
  <c r="BT41" i="1" s="1"/>
  <c r="BS6" i="1"/>
  <c r="BS41" i="1" s="1"/>
  <c r="BR6" i="1"/>
  <c r="BR41" i="1" s="1"/>
  <c r="BQ6" i="1"/>
  <c r="BQ41" i="1" s="1"/>
  <c r="BP6" i="1"/>
  <c r="BP41" i="1" s="1"/>
  <c r="CC5" i="1"/>
  <c r="CB5" i="1"/>
  <c r="CB37" i="1" s="1"/>
  <c r="CA5" i="1"/>
  <c r="BZ5" i="1"/>
  <c r="BY5" i="1"/>
  <c r="BX5" i="1"/>
  <c r="BW5" i="1"/>
  <c r="BV5" i="1"/>
  <c r="BU5" i="1"/>
  <c r="BT5" i="1"/>
  <c r="CD5" i="1" s="1"/>
  <c r="BS5" i="1"/>
  <c r="BS31" i="1" s="1"/>
  <c r="BR5" i="1"/>
  <c r="BQ5" i="1"/>
  <c r="BP5" i="1"/>
  <c r="BP37" i="1" s="1"/>
  <c r="CC4" i="1"/>
  <c r="CB4" i="1"/>
  <c r="CA4" i="1"/>
  <c r="BZ4" i="1"/>
  <c r="BY4" i="1"/>
  <c r="BX4" i="1"/>
  <c r="BW4" i="1"/>
  <c r="BV4" i="1"/>
  <c r="BU4" i="1"/>
  <c r="BT4" i="1"/>
  <c r="BS4" i="1"/>
  <c r="BR4" i="1"/>
  <c r="BQ4" i="1"/>
  <c r="BP4" i="1"/>
  <c r="D10" i="1"/>
  <c r="D13" i="1" s="1"/>
  <c r="D15" i="1" s="1"/>
  <c r="D17" i="1" s="1"/>
  <c r="W34" i="7" l="1"/>
  <c r="X34" i="7"/>
  <c r="W36" i="7"/>
  <c r="T28" i="7"/>
  <c r="X36" i="7"/>
  <c r="W28" i="7"/>
  <c r="AL28" i="7"/>
  <c r="AG24" i="6"/>
  <c r="AF24" i="6"/>
  <c r="AD24" i="6"/>
  <c r="T34" i="6"/>
  <c r="AH29" i="6"/>
  <c r="AF29" i="6"/>
  <c r="AE29" i="6"/>
  <c r="AH25" i="6"/>
  <c r="AF25" i="6"/>
  <c r="AE22" i="6"/>
  <c r="AE26" i="6" s="1"/>
  <c r="AD22" i="6"/>
  <c r="AD26" i="6" s="1"/>
  <c r="AD25" i="6"/>
  <c r="AH24" i="6"/>
  <c r="AG29" i="6"/>
  <c r="AG25" i="6"/>
  <c r="AO63" i="2"/>
  <c r="AA68" i="2"/>
  <c r="AR63" i="2"/>
  <c r="N70" i="2"/>
  <c r="BD63" i="2"/>
  <c r="AG63" i="2"/>
  <c r="AA70" i="2"/>
  <c r="AP70" i="2"/>
  <c r="AQ70" i="2"/>
  <c r="AN64" i="2"/>
  <c r="BA68" i="2"/>
  <c r="AA64" i="2"/>
  <c r="BE63" i="2"/>
  <c r="AN68" i="2"/>
  <c r="BN68" i="2"/>
  <c r="M70" i="2"/>
  <c r="BT37" i="1"/>
  <c r="CB38" i="1"/>
  <c r="BY32" i="1"/>
  <c r="BY44" i="1" s="1"/>
  <c r="BV37" i="1"/>
  <c r="BV45" i="1"/>
  <c r="BW45" i="1"/>
  <c r="BQ38" i="1"/>
  <c r="CD17" i="1"/>
  <c r="CD45" i="1" s="1"/>
  <c r="BU34" i="1"/>
  <c r="BU38" i="1"/>
  <c r="BV38" i="1"/>
  <c r="BT13" i="1"/>
  <c r="CD13" i="1" s="1"/>
  <c r="CA39" i="1"/>
  <c r="BY37" i="1"/>
  <c r="BQ39" i="1"/>
  <c r="BT42" i="1"/>
  <c r="BU46" i="1"/>
  <c r="BX32" i="1"/>
  <c r="BX35" i="1" s="1"/>
  <c r="BY36" i="1"/>
  <c r="BY46" i="1"/>
  <c r="CC38" i="1"/>
  <c r="BP39" i="1"/>
  <c r="BW13" i="1"/>
  <c r="BW33" i="1" s="1"/>
  <c r="BP34" i="1"/>
  <c r="BR39" i="1"/>
  <c r="BU31" i="1"/>
  <c r="BW31" i="1"/>
  <c r="BP13" i="1"/>
  <c r="CB13" i="1"/>
  <c r="BQ37" i="1"/>
  <c r="CC37" i="1"/>
  <c r="BZ36" i="1"/>
  <c r="CB39" i="1"/>
  <c r="BZ46" i="1"/>
  <c r="BW34" i="1"/>
  <c r="BP38" i="1"/>
  <c r="BR38" i="1"/>
  <c r="BS13" i="1"/>
  <c r="BY34" i="1"/>
  <c r="CC34" i="1"/>
  <c r="CA31" i="1"/>
  <c r="BV31" i="1"/>
  <c r="BQ31" i="1"/>
  <c r="CC31" i="1"/>
  <c r="BX31" i="1"/>
  <c r="BT39" i="1"/>
  <c r="CD15" i="1"/>
  <c r="CD37" i="1" s="1"/>
  <c r="CA36" i="1"/>
  <c r="CC39" i="1"/>
  <c r="BZ42" i="1"/>
  <c r="CD4" i="1"/>
  <c r="BR31" i="1"/>
  <c r="BY31" i="1"/>
  <c r="BS37" i="1"/>
  <c r="CA38" i="1"/>
  <c r="BP45" i="1"/>
  <c r="BS34" i="1"/>
  <c r="BS32" i="1"/>
  <c r="BS44" i="1" s="1"/>
  <c r="BT33" i="1"/>
  <c r="BT40" i="1"/>
  <c r="CD42" i="1"/>
  <c r="BV40" i="1"/>
  <c r="BV43" i="1"/>
  <c r="BV33" i="1"/>
  <c r="CD46" i="1"/>
  <c r="CD31" i="1"/>
  <c r="BW40" i="1"/>
  <c r="BZ43" i="1"/>
  <c r="BZ40" i="1"/>
  <c r="BZ33" i="1"/>
  <c r="BX40" i="1"/>
  <c r="BX43" i="1"/>
  <c r="BX33" i="1"/>
  <c r="BV35" i="1"/>
  <c r="BV44" i="1"/>
  <c r="CA43" i="1"/>
  <c r="CA33" i="1"/>
  <c r="CA40" i="1"/>
  <c r="BW44" i="1"/>
  <c r="BW35" i="1"/>
  <c r="BY43" i="1"/>
  <c r="BY33" i="1"/>
  <c r="BY40" i="1"/>
  <c r="BP33" i="1"/>
  <c r="BP43" i="1"/>
  <c r="BP40" i="1"/>
  <c r="CB33" i="1"/>
  <c r="CB40" i="1"/>
  <c r="CB43" i="1"/>
  <c r="BX44" i="1"/>
  <c r="BU33" i="1"/>
  <c r="BU40" i="1"/>
  <c r="BU43" i="1"/>
  <c r="BS40" i="1"/>
  <c r="BS33" i="1"/>
  <c r="BS43" i="1"/>
  <c r="BX37" i="1"/>
  <c r="BY41" i="1"/>
  <c r="BV46" i="1"/>
  <c r="CB32" i="1"/>
  <c r="BV42" i="1"/>
  <c r="CD14" i="1"/>
  <c r="BT31" i="1"/>
  <c r="BQ32" i="1"/>
  <c r="CC32" i="1"/>
  <c r="BQ36" i="1"/>
  <c r="CC36" i="1"/>
  <c r="BW38" i="1"/>
  <c r="BQ40" i="1"/>
  <c r="CC40" i="1"/>
  <c r="BZ41" i="1"/>
  <c r="BW42" i="1"/>
  <c r="BW46" i="1"/>
  <c r="CB31" i="1"/>
  <c r="BZ32" i="1"/>
  <c r="CC43" i="1"/>
  <c r="CA32" i="1"/>
  <c r="BR43" i="1"/>
  <c r="BP32" i="1"/>
  <c r="BS39" i="1"/>
  <c r="CD6" i="1"/>
  <c r="CD41" i="1" s="1"/>
  <c r="BR32" i="1"/>
  <c r="CD32" i="1"/>
  <c r="BX34" i="1"/>
  <c r="BR36" i="1"/>
  <c r="BX38" i="1"/>
  <c r="BR40" i="1"/>
  <c r="BX42" i="1"/>
  <c r="CA45" i="1"/>
  <c r="BX46" i="1"/>
  <c r="BP31" i="1"/>
  <c r="BZ34" i="1"/>
  <c r="CC45" i="1"/>
  <c r="BU32" i="1"/>
  <c r="CA34" i="1"/>
  <c r="BU36" i="1"/>
  <c r="CA42" i="1"/>
  <c r="BR45" i="1"/>
  <c r="BW37" i="1"/>
  <c r="BQ43" i="1"/>
  <c r="BT32" i="1"/>
  <c r="BY35" i="1"/>
  <c r="BP42" i="1"/>
  <c r="CB42" i="1"/>
  <c r="BS45" i="1"/>
  <c r="BQ45" i="1"/>
  <c r="BQ42" i="1"/>
  <c r="CC42" i="1"/>
  <c r="BR34" i="1"/>
  <c r="BR42" i="1"/>
  <c r="BW43" i="1" l="1"/>
  <c r="BS35" i="1"/>
  <c r="BT43" i="1"/>
  <c r="BT44" i="1"/>
  <c r="BT35" i="1"/>
  <c r="BP44" i="1"/>
  <c r="BP35" i="1"/>
  <c r="CA35" i="1"/>
  <c r="CA44" i="1"/>
  <c r="CC35" i="1"/>
  <c r="CC44" i="1"/>
  <c r="CD38" i="1"/>
  <c r="BQ35" i="1"/>
  <c r="BQ44" i="1"/>
  <c r="BZ35" i="1"/>
  <c r="BZ44" i="1"/>
  <c r="BR44" i="1"/>
  <c r="BR35" i="1"/>
  <c r="CD34" i="1"/>
  <c r="CD39" i="1"/>
  <c r="CD33" i="1"/>
  <c r="CD40" i="1"/>
  <c r="CD43" i="1"/>
  <c r="CB35" i="1"/>
  <c r="CB44" i="1"/>
  <c r="BU44" i="1"/>
  <c r="BU35" i="1"/>
  <c r="CD44" i="1"/>
  <c r="CD35" i="1"/>
  <c r="J43" i="1" l="1"/>
  <c r="J44" i="1"/>
  <c r="J45" i="1"/>
  <c r="J46" i="1"/>
  <c r="G43" i="1"/>
  <c r="G44" i="1"/>
  <c r="G45" i="1"/>
  <c r="G46" i="1"/>
  <c r="D31" i="1" l="1"/>
  <c r="F31" i="1"/>
  <c r="G31" i="1"/>
  <c r="I31" i="1"/>
  <c r="K31" i="1"/>
  <c r="L31" i="1"/>
  <c r="M31" i="1"/>
  <c r="N31" i="1"/>
  <c r="O31" i="1"/>
  <c r="P31" i="1"/>
  <c r="Q31" i="1"/>
  <c r="R31" i="1"/>
  <c r="S31" i="1"/>
  <c r="T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BN31" i="1"/>
  <c r="BO31" i="1"/>
  <c r="D32" i="1"/>
  <c r="F32" i="1"/>
  <c r="G32" i="1"/>
  <c r="I32" i="1"/>
  <c r="K32" i="1"/>
  <c r="M32" i="1"/>
  <c r="O32" i="1"/>
  <c r="P32" i="1"/>
  <c r="R32" i="1"/>
  <c r="R35" i="1" s="1"/>
  <c r="S32" i="1"/>
  <c r="T32" i="1"/>
  <c r="V32" i="1"/>
  <c r="W32" i="1"/>
  <c r="X32" i="1"/>
  <c r="X44" i="1" s="1"/>
  <c r="AB32" i="1"/>
  <c r="AC32" i="1"/>
  <c r="AC35" i="1" s="1"/>
  <c r="AE32" i="1"/>
  <c r="AF32" i="1"/>
  <c r="AG32" i="1"/>
  <c r="AG44" i="1" s="1"/>
  <c r="AH32" i="1"/>
  <c r="AI32" i="1"/>
  <c r="AJ32" i="1"/>
  <c r="AJ44" i="1" s="1"/>
  <c r="AK32" i="1"/>
  <c r="AK44" i="1" s="1"/>
  <c r="AL32" i="1"/>
  <c r="AL35" i="1" s="1"/>
  <c r="AM32" i="1"/>
  <c r="AM35" i="1" s="1"/>
  <c r="AO32" i="1"/>
  <c r="AO35" i="1" s="1"/>
  <c r="AP32" i="1"/>
  <c r="AP35" i="1" s="1"/>
  <c r="AR32" i="1"/>
  <c r="AS32" i="1"/>
  <c r="AS44" i="1" s="1"/>
  <c r="AT32" i="1"/>
  <c r="AU32" i="1"/>
  <c r="AV32" i="1"/>
  <c r="AV44" i="1" s="1"/>
  <c r="AW32" i="1"/>
  <c r="AW44" i="1" s="1"/>
  <c r="AX32" i="1"/>
  <c r="AX35" i="1" s="1"/>
  <c r="AY32" i="1"/>
  <c r="AY35" i="1" s="1"/>
  <c r="AZ32" i="1"/>
  <c r="AZ35" i="1" s="1"/>
  <c r="BB32" i="1"/>
  <c r="BB35" i="1" s="1"/>
  <c r="BC32" i="1"/>
  <c r="BC35" i="1" s="1"/>
  <c r="BE32" i="1"/>
  <c r="BE44" i="1" s="1"/>
  <c r="BF32" i="1"/>
  <c r="BG32" i="1"/>
  <c r="BH32" i="1"/>
  <c r="BH44" i="1" s="1"/>
  <c r="BI32" i="1"/>
  <c r="BI44" i="1" s="1"/>
  <c r="BJ32" i="1"/>
  <c r="BJ35" i="1" s="1"/>
  <c r="BK32" i="1"/>
  <c r="BK35" i="1" s="1"/>
  <c r="BL32" i="1"/>
  <c r="BL35" i="1" s="1"/>
  <c r="BM32" i="1"/>
  <c r="BM35" i="1" s="1"/>
  <c r="BO32" i="1"/>
  <c r="BO35" i="1" s="1"/>
  <c r="D33" i="1"/>
  <c r="F33" i="1"/>
  <c r="I33" i="1"/>
  <c r="K33" i="1"/>
  <c r="O33" i="1"/>
  <c r="S33" i="1"/>
  <c r="V33" i="1"/>
  <c r="W33" i="1"/>
  <c r="X33" i="1"/>
  <c r="AB33" i="1"/>
  <c r="AF33" i="1"/>
  <c r="AI33" i="1"/>
  <c r="AJ33" i="1"/>
  <c r="AK33" i="1"/>
  <c r="AL33" i="1"/>
  <c r="AO33" i="1"/>
  <c r="AS33" i="1"/>
  <c r="AV33" i="1"/>
  <c r="AW33" i="1"/>
  <c r="AX33" i="1"/>
  <c r="BB33" i="1"/>
  <c r="BF33" i="1"/>
  <c r="BI33" i="1"/>
  <c r="BJ33" i="1"/>
  <c r="BK33" i="1"/>
  <c r="BO33" i="1"/>
  <c r="D34" i="1"/>
  <c r="F34" i="1"/>
  <c r="I34" i="1"/>
  <c r="K34" i="1"/>
  <c r="M34" i="1"/>
  <c r="O34" i="1"/>
  <c r="P34" i="1"/>
  <c r="R34" i="1"/>
  <c r="S34" i="1"/>
  <c r="T34" i="1"/>
  <c r="V34" i="1"/>
  <c r="W34" i="1"/>
  <c r="X34" i="1"/>
  <c r="AB34" i="1"/>
  <c r="AC34" i="1"/>
  <c r="AE34" i="1"/>
  <c r="AF34" i="1"/>
  <c r="AG34" i="1"/>
  <c r="AH34" i="1"/>
  <c r="AI34" i="1"/>
  <c r="AJ34" i="1"/>
  <c r="AK34" i="1"/>
  <c r="AL34" i="1"/>
  <c r="AM34" i="1"/>
  <c r="AO34" i="1"/>
  <c r="AP34" i="1"/>
  <c r="AR34" i="1"/>
  <c r="AS34" i="1"/>
  <c r="AT34" i="1"/>
  <c r="AU34" i="1"/>
  <c r="AV34" i="1"/>
  <c r="AW34" i="1"/>
  <c r="AX34" i="1"/>
  <c r="AY34" i="1"/>
  <c r="AZ34" i="1"/>
  <c r="BB34" i="1"/>
  <c r="BC34" i="1"/>
  <c r="BE34" i="1"/>
  <c r="BF34" i="1"/>
  <c r="BG34" i="1"/>
  <c r="BH34" i="1"/>
  <c r="BI34" i="1"/>
  <c r="BJ34" i="1"/>
  <c r="BK34" i="1"/>
  <c r="BL34" i="1"/>
  <c r="BM34" i="1"/>
  <c r="BO34" i="1"/>
  <c r="D35" i="1"/>
  <c r="F35" i="1"/>
  <c r="I35" i="1"/>
  <c r="K35" i="1"/>
  <c r="M35" i="1"/>
  <c r="O35" i="1"/>
  <c r="P35" i="1"/>
  <c r="S35" i="1"/>
  <c r="T35" i="1"/>
  <c r="V35" i="1"/>
  <c r="W35" i="1"/>
  <c r="X35" i="1"/>
  <c r="AB35" i="1"/>
  <c r="AE35" i="1"/>
  <c r="AF35" i="1"/>
  <c r="AG35" i="1"/>
  <c r="AH35" i="1"/>
  <c r="AI35" i="1"/>
  <c r="AJ35" i="1"/>
  <c r="AK35" i="1"/>
  <c r="AR35" i="1"/>
  <c r="AS35" i="1"/>
  <c r="AT35" i="1"/>
  <c r="AU35" i="1"/>
  <c r="AV35" i="1"/>
  <c r="AW35" i="1"/>
  <c r="BE35" i="1"/>
  <c r="BF35" i="1"/>
  <c r="BG35" i="1"/>
  <c r="BH35" i="1"/>
  <c r="BI35" i="1"/>
  <c r="D36" i="1"/>
  <c r="E36" i="1"/>
  <c r="F36" i="1"/>
  <c r="H36" i="1"/>
  <c r="I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D37" i="1"/>
  <c r="F37" i="1"/>
  <c r="I37" i="1"/>
  <c r="K37" i="1"/>
  <c r="L37" i="1"/>
  <c r="M37" i="1"/>
  <c r="N37" i="1"/>
  <c r="O37" i="1"/>
  <c r="P37" i="1"/>
  <c r="Q37" i="1"/>
  <c r="R37" i="1"/>
  <c r="S37" i="1"/>
  <c r="T37" i="1"/>
  <c r="V37" i="1"/>
  <c r="W37" i="1"/>
  <c r="X37" i="1"/>
  <c r="Y37" i="1"/>
  <c r="Z37" i="1"/>
  <c r="AA37" i="1"/>
  <c r="AB37" i="1"/>
  <c r="AC37" i="1"/>
  <c r="AD37" i="1"/>
  <c r="AE37" i="1"/>
  <c r="AF37" i="1"/>
  <c r="AG37" i="1"/>
  <c r="AH37" i="1"/>
  <c r="AI37" i="1"/>
  <c r="AJ37" i="1"/>
  <c r="AK37" i="1"/>
  <c r="AL37" i="1"/>
  <c r="AM37" i="1"/>
  <c r="AN37" i="1"/>
  <c r="AO37" i="1"/>
  <c r="AP37" i="1"/>
  <c r="AQ37" i="1"/>
  <c r="AR37" i="1"/>
  <c r="AS37" i="1"/>
  <c r="AT37" i="1"/>
  <c r="AU37" i="1"/>
  <c r="AV37" i="1"/>
  <c r="AW37" i="1"/>
  <c r="AX37" i="1"/>
  <c r="AY37" i="1"/>
  <c r="AZ37" i="1"/>
  <c r="BA37" i="1"/>
  <c r="BB37" i="1"/>
  <c r="BC37" i="1"/>
  <c r="BD37" i="1"/>
  <c r="BE37" i="1"/>
  <c r="BF37" i="1"/>
  <c r="BG37" i="1"/>
  <c r="BH37" i="1"/>
  <c r="BI37" i="1"/>
  <c r="BJ37" i="1"/>
  <c r="BK37" i="1"/>
  <c r="BL37" i="1"/>
  <c r="BM37" i="1"/>
  <c r="BN37" i="1"/>
  <c r="BO37" i="1"/>
  <c r="D38" i="1"/>
  <c r="E38" i="1"/>
  <c r="F38" i="1"/>
  <c r="I38" i="1"/>
  <c r="K38" i="1"/>
  <c r="M38" i="1"/>
  <c r="O38" i="1"/>
  <c r="P38" i="1"/>
  <c r="R38" i="1"/>
  <c r="T38" i="1"/>
  <c r="V38" i="1"/>
  <c r="W38" i="1"/>
  <c r="X38" i="1"/>
  <c r="AB38" i="1"/>
  <c r="AC38" i="1"/>
  <c r="AE38" i="1"/>
  <c r="AF38" i="1"/>
  <c r="AG38" i="1"/>
  <c r="AH38" i="1"/>
  <c r="AI38" i="1"/>
  <c r="AJ38" i="1"/>
  <c r="AK38" i="1"/>
  <c r="AL38" i="1"/>
  <c r="AM38" i="1"/>
  <c r="AO38" i="1"/>
  <c r="AP38" i="1"/>
  <c r="AR38" i="1"/>
  <c r="AS38" i="1"/>
  <c r="AT38" i="1"/>
  <c r="AU38" i="1"/>
  <c r="AV38" i="1"/>
  <c r="AW38" i="1"/>
  <c r="AX38" i="1"/>
  <c r="AY38" i="1"/>
  <c r="AZ38" i="1"/>
  <c r="BB38" i="1"/>
  <c r="BC38" i="1"/>
  <c r="BE38" i="1"/>
  <c r="BF38" i="1"/>
  <c r="BG38" i="1"/>
  <c r="BH38" i="1"/>
  <c r="BI38" i="1"/>
  <c r="BJ38" i="1"/>
  <c r="BK38" i="1"/>
  <c r="BL38" i="1"/>
  <c r="BM38" i="1"/>
  <c r="BO38" i="1"/>
  <c r="D39" i="1"/>
  <c r="F39" i="1"/>
  <c r="H39" i="1"/>
  <c r="I39" i="1"/>
  <c r="K39" i="1"/>
  <c r="L39" i="1"/>
  <c r="M39" i="1"/>
  <c r="N39" i="1"/>
  <c r="O39" i="1"/>
  <c r="P39" i="1"/>
  <c r="Q39" i="1"/>
  <c r="R39" i="1"/>
  <c r="T39" i="1"/>
  <c r="U39" i="1"/>
  <c r="V39" i="1"/>
  <c r="W39" i="1"/>
  <c r="X39" i="1"/>
  <c r="Y39" i="1"/>
  <c r="Z39" i="1"/>
  <c r="AA39" i="1"/>
  <c r="AB39" i="1"/>
  <c r="AC39" i="1"/>
  <c r="AD39" i="1"/>
  <c r="AE39" i="1"/>
  <c r="AF39"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D40" i="1"/>
  <c r="F40" i="1"/>
  <c r="I40" i="1"/>
  <c r="K40" i="1"/>
  <c r="N40" i="1"/>
  <c r="O40" i="1"/>
  <c r="Q40" i="1"/>
  <c r="V40" i="1"/>
  <c r="W40" i="1"/>
  <c r="X40" i="1"/>
  <c r="AA40" i="1"/>
  <c r="AB40" i="1"/>
  <c r="AD40" i="1"/>
  <c r="AF40" i="1"/>
  <c r="AI40" i="1"/>
  <c r="AJ40" i="1"/>
  <c r="AK40" i="1"/>
  <c r="AL40" i="1"/>
  <c r="AN40" i="1"/>
  <c r="AO40" i="1"/>
  <c r="AQ40" i="1"/>
  <c r="AS40" i="1"/>
  <c r="AV40" i="1"/>
  <c r="AW40" i="1"/>
  <c r="AX40" i="1"/>
  <c r="BA40" i="1"/>
  <c r="BB40" i="1"/>
  <c r="BD40" i="1"/>
  <c r="BF40" i="1"/>
  <c r="BI40" i="1"/>
  <c r="BJ40" i="1"/>
  <c r="BK40" i="1"/>
  <c r="BN40" i="1"/>
  <c r="BO40" i="1"/>
  <c r="D41" i="1"/>
  <c r="E41" i="1"/>
  <c r="F41" i="1"/>
  <c r="H41" i="1"/>
  <c r="I41" i="1"/>
  <c r="K41" i="1"/>
  <c r="L41" i="1"/>
  <c r="M41" i="1"/>
  <c r="N41" i="1"/>
  <c r="O41" i="1"/>
  <c r="P41" i="1"/>
  <c r="Q41" i="1"/>
  <c r="R41" i="1"/>
  <c r="T41" i="1"/>
  <c r="U41" i="1"/>
  <c r="V41" i="1"/>
  <c r="W41" i="1"/>
  <c r="X41" i="1"/>
  <c r="Y41" i="1"/>
  <c r="Z41" i="1"/>
  <c r="AA41" i="1"/>
  <c r="AB41" i="1"/>
  <c r="AC41" i="1"/>
  <c r="AD41" i="1"/>
  <c r="AE41" i="1"/>
  <c r="AF41" i="1"/>
  <c r="AG41" i="1"/>
  <c r="AH41" i="1"/>
  <c r="AI41" i="1"/>
  <c r="AJ41" i="1"/>
  <c r="AK41" i="1"/>
  <c r="AL41" i="1"/>
  <c r="AM41" i="1"/>
  <c r="AN41" i="1"/>
  <c r="AO41" i="1"/>
  <c r="AP41" i="1"/>
  <c r="AQ41" i="1"/>
  <c r="AR41" i="1"/>
  <c r="AS41" i="1"/>
  <c r="AT41" i="1"/>
  <c r="AU41" i="1"/>
  <c r="AV41" i="1"/>
  <c r="AW41" i="1"/>
  <c r="AX41" i="1"/>
  <c r="AY41" i="1"/>
  <c r="AZ41" i="1"/>
  <c r="BA41" i="1"/>
  <c r="BB41" i="1"/>
  <c r="BC41" i="1"/>
  <c r="BD41" i="1"/>
  <c r="BE41" i="1"/>
  <c r="BF41" i="1"/>
  <c r="BG41" i="1"/>
  <c r="BH41" i="1"/>
  <c r="BI41" i="1"/>
  <c r="BJ41" i="1"/>
  <c r="BK41" i="1"/>
  <c r="BL41" i="1"/>
  <c r="BM41" i="1"/>
  <c r="BN41" i="1"/>
  <c r="BO41" i="1"/>
  <c r="D42" i="1"/>
  <c r="F42" i="1"/>
  <c r="I42" i="1"/>
  <c r="K42" i="1"/>
  <c r="L42" i="1"/>
  <c r="M42" i="1"/>
  <c r="N42" i="1"/>
  <c r="O42" i="1"/>
  <c r="P42" i="1"/>
  <c r="Q42" i="1"/>
  <c r="R42" i="1"/>
  <c r="S42" i="1"/>
  <c r="T42" i="1"/>
  <c r="V42" i="1"/>
  <c r="W42" i="1"/>
  <c r="X42" i="1"/>
  <c r="Y42" i="1"/>
  <c r="Z42" i="1"/>
  <c r="AA42" i="1"/>
  <c r="AB42" i="1"/>
  <c r="AC42" i="1"/>
  <c r="AD42" i="1"/>
  <c r="AE42" i="1"/>
  <c r="AF42" i="1"/>
  <c r="AG42" i="1"/>
  <c r="AH42" i="1"/>
  <c r="AI42" i="1"/>
  <c r="AJ42" i="1"/>
  <c r="AK42" i="1"/>
  <c r="AL42" i="1"/>
  <c r="AM42" i="1"/>
  <c r="AN42" i="1"/>
  <c r="AO42" i="1"/>
  <c r="AP42" i="1"/>
  <c r="AQ42" i="1"/>
  <c r="AR42" i="1"/>
  <c r="AS42" i="1"/>
  <c r="AT42" i="1"/>
  <c r="AU42" i="1"/>
  <c r="AV42" i="1"/>
  <c r="AW42" i="1"/>
  <c r="AX42" i="1"/>
  <c r="AY42" i="1"/>
  <c r="AZ42" i="1"/>
  <c r="BA42" i="1"/>
  <c r="BB42" i="1"/>
  <c r="BC42" i="1"/>
  <c r="BD42" i="1"/>
  <c r="BE42" i="1"/>
  <c r="BF42" i="1"/>
  <c r="BG42" i="1"/>
  <c r="BH42" i="1"/>
  <c r="BI42" i="1"/>
  <c r="BJ42" i="1"/>
  <c r="BK42" i="1"/>
  <c r="BL42" i="1"/>
  <c r="BM42" i="1"/>
  <c r="BN42" i="1"/>
  <c r="BO42" i="1"/>
  <c r="D43" i="1"/>
  <c r="F43" i="1"/>
  <c r="I43" i="1"/>
  <c r="K43" i="1"/>
  <c r="N43" i="1"/>
  <c r="O43" i="1"/>
  <c r="Q43" i="1"/>
  <c r="S43" i="1"/>
  <c r="V43" i="1"/>
  <c r="W43" i="1"/>
  <c r="X43" i="1"/>
  <c r="AA43" i="1"/>
  <c r="AB43" i="1"/>
  <c r="AD43" i="1"/>
  <c r="AF43" i="1"/>
  <c r="AI43" i="1"/>
  <c r="AJ43" i="1"/>
  <c r="AK43" i="1"/>
  <c r="AL43" i="1"/>
  <c r="AN43" i="1"/>
  <c r="AO43" i="1"/>
  <c r="AQ43" i="1"/>
  <c r="AS43" i="1"/>
  <c r="AV43" i="1"/>
  <c r="AW43" i="1"/>
  <c r="AX43" i="1"/>
  <c r="BA43" i="1"/>
  <c r="BB43" i="1"/>
  <c r="BD43" i="1"/>
  <c r="BF43" i="1"/>
  <c r="BI43" i="1"/>
  <c r="BJ43" i="1"/>
  <c r="BK43" i="1"/>
  <c r="BN43" i="1"/>
  <c r="BO43" i="1"/>
  <c r="D44" i="1"/>
  <c r="F44" i="1"/>
  <c r="I44" i="1"/>
  <c r="K44" i="1"/>
  <c r="M44" i="1"/>
  <c r="O44" i="1"/>
  <c r="P44" i="1"/>
  <c r="S44" i="1"/>
  <c r="T44" i="1"/>
  <c r="V44" i="1"/>
  <c r="W44" i="1"/>
  <c r="AB44" i="1"/>
  <c r="AE44" i="1"/>
  <c r="AF44" i="1"/>
  <c r="AH44" i="1"/>
  <c r="AI44" i="1"/>
  <c r="AP44" i="1"/>
  <c r="AR44" i="1"/>
  <c r="AT44" i="1"/>
  <c r="AU44" i="1"/>
  <c r="AX44" i="1"/>
  <c r="AY44" i="1"/>
  <c r="AZ44" i="1"/>
  <c r="BC44" i="1"/>
  <c r="BF44" i="1"/>
  <c r="BG44" i="1"/>
  <c r="BJ44" i="1"/>
  <c r="BK44" i="1"/>
  <c r="BL44" i="1"/>
  <c r="BM44" i="1"/>
  <c r="BO44" i="1"/>
  <c r="D45" i="1"/>
  <c r="E45" i="1"/>
  <c r="F45" i="1"/>
  <c r="I45" i="1"/>
  <c r="K45" i="1"/>
  <c r="M45" i="1"/>
  <c r="O45" i="1"/>
  <c r="P45" i="1"/>
  <c r="R45" i="1"/>
  <c r="S45" i="1"/>
  <c r="T45" i="1"/>
  <c r="V45" i="1"/>
  <c r="W45" i="1"/>
  <c r="X45" i="1"/>
  <c r="AB45" i="1"/>
  <c r="AC45" i="1"/>
  <c r="AE45" i="1"/>
  <c r="AF45" i="1"/>
  <c r="AG45" i="1"/>
  <c r="AH45" i="1"/>
  <c r="AI45" i="1"/>
  <c r="AJ45" i="1"/>
  <c r="AK45" i="1"/>
  <c r="AL45" i="1"/>
  <c r="AM45" i="1"/>
  <c r="AO45" i="1"/>
  <c r="AP45" i="1"/>
  <c r="AR45" i="1"/>
  <c r="AS45" i="1"/>
  <c r="AT45" i="1"/>
  <c r="AU45" i="1"/>
  <c r="AV45" i="1"/>
  <c r="AW45" i="1"/>
  <c r="AX45" i="1"/>
  <c r="AY45" i="1"/>
  <c r="AZ45" i="1"/>
  <c r="BB45" i="1"/>
  <c r="BC45" i="1"/>
  <c r="BE45" i="1"/>
  <c r="BF45" i="1"/>
  <c r="BG45" i="1"/>
  <c r="BH45" i="1"/>
  <c r="BI45" i="1"/>
  <c r="BJ45" i="1"/>
  <c r="BK45" i="1"/>
  <c r="BL45" i="1"/>
  <c r="BM45" i="1"/>
  <c r="BO45" i="1"/>
  <c r="D46" i="1"/>
  <c r="F46" i="1"/>
  <c r="I46" i="1"/>
  <c r="K46" i="1"/>
  <c r="L46" i="1"/>
  <c r="M46" i="1"/>
  <c r="N46" i="1"/>
  <c r="O46" i="1"/>
  <c r="P46" i="1"/>
  <c r="Q46" i="1"/>
  <c r="R46" i="1"/>
  <c r="S46" i="1"/>
  <c r="T46" i="1"/>
  <c r="V46" i="1"/>
  <c r="W46" i="1"/>
  <c r="X46" i="1"/>
  <c r="Y46" i="1"/>
  <c r="Z46" i="1"/>
  <c r="AA46" i="1"/>
  <c r="AB46" i="1"/>
  <c r="AC46" i="1"/>
  <c r="AD46" i="1"/>
  <c r="AE46"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R44" i="1" l="1"/>
  <c r="AC44" i="1"/>
  <c r="AO44" i="1"/>
  <c r="BB44" i="1"/>
  <c r="AM44" i="1"/>
  <c r="AL44" i="1"/>
  <c r="N17" i="1" l="1"/>
  <c r="N32" i="1" l="1"/>
  <c r="N38" i="1"/>
  <c r="N34" i="1"/>
  <c r="N33" i="1"/>
  <c r="N45" i="1"/>
  <c r="AY13" i="1"/>
  <c r="C46" i="1"/>
  <c r="P25" i="1"/>
  <c r="AY43" i="1" l="1"/>
  <c r="AY40" i="1"/>
  <c r="AY33" i="1"/>
  <c r="N35" i="1"/>
  <c r="N44" i="1"/>
  <c r="BD16" i="1"/>
  <c r="BD17" i="1" s="1"/>
  <c r="AQ16" i="1"/>
  <c r="AQ17" i="1" s="1"/>
  <c r="AD16" i="1"/>
  <c r="AD17" i="1" s="1"/>
  <c r="Q16" i="1"/>
  <c r="Q17" i="1"/>
  <c r="BN17" i="1"/>
  <c r="BA17" i="1"/>
  <c r="AN17" i="1"/>
  <c r="AA17" i="1"/>
  <c r="C36" i="1"/>
  <c r="C34" i="1"/>
  <c r="C32" i="1"/>
  <c r="AA32" i="1" l="1"/>
  <c r="AA34" i="1"/>
  <c r="AA33" i="1"/>
  <c r="AA45" i="1"/>
  <c r="AA38" i="1"/>
  <c r="AN32" i="1"/>
  <c r="AN34" i="1"/>
  <c r="AN38" i="1"/>
  <c r="AN33" i="1"/>
  <c r="AN45" i="1"/>
  <c r="BA34" i="1"/>
  <c r="BA38" i="1"/>
  <c r="BA45" i="1"/>
  <c r="BA33" i="1"/>
  <c r="BA32" i="1"/>
  <c r="BN33" i="1"/>
  <c r="BN34" i="1"/>
  <c r="BN38" i="1"/>
  <c r="BN45" i="1"/>
  <c r="BN32" i="1"/>
  <c r="Q32" i="1"/>
  <c r="Q34" i="1"/>
  <c r="Q38" i="1"/>
  <c r="Q33" i="1"/>
  <c r="Q45" i="1"/>
  <c r="AD34" i="1"/>
  <c r="AD33" i="1"/>
  <c r="AD32" i="1"/>
  <c r="AD38" i="1"/>
  <c r="AD45" i="1"/>
  <c r="AQ32" i="1"/>
  <c r="AQ45" i="1"/>
  <c r="AQ33" i="1"/>
  <c r="AQ34" i="1"/>
  <c r="AQ38" i="1"/>
  <c r="BD32" i="1"/>
  <c r="BD45" i="1"/>
  <c r="BD33" i="1"/>
  <c r="BD34" i="1"/>
  <c r="BD38" i="1"/>
  <c r="BD44" i="1" l="1"/>
  <c r="BD35" i="1"/>
  <c r="Q35" i="1"/>
  <c r="Q44" i="1"/>
  <c r="BN35" i="1"/>
  <c r="BN44" i="1"/>
  <c r="AQ35" i="1"/>
  <c r="AQ44" i="1"/>
  <c r="AN35" i="1"/>
  <c r="AN44" i="1"/>
  <c r="AD35" i="1"/>
  <c r="AD44" i="1"/>
  <c r="BA35" i="1"/>
  <c r="BA44" i="1"/>
  <c r="AA35" i="1"/>
  <c r="AA44" i="1"/>
  <c r="M13" i="1"/>
  <c r="M43" i="1" l="1"/>
  <c r="M33" i="1"/>
  <c r="M40" i="1"/>
  <c r="BH22" i="6" l="1"/>
  <c r="BH26" i="6" s="1"/>
  <c r="BI22" i="6"/>
  <c r="BI26" i="6" s="1"/>
  <c r="BJ22" i="6"/>
  <c r="BJ26" i="6" s="1"/>
  <c r="BK22" i="6"/>
  <c r="BK26" i="6" s="1"/>
  <c r="BL22" i="6"/>
  <c r="BL26" i="6" s="1"/>
  <c r="BB23" i="6"/>
  <c r="BC23" i="6"/>
  <c r="BD23" i="6"/>
  <c r="BE23" i="6"/>
  <c r="BH23" i="6"/>
  <c r="BI23" i="6"/>
  <c r="BJ23" i="6"/>
  <c r="BK23" i="6"/>
  <c r="BL23" i="6"/>
  <c r="BH24" i="6"/>
  <c r="BI24" i="6"/>
  <c r="BJ24" i="6"/>
  <c r="BK24" i="6"/>
  <c r="BL24" i="6"/>
  <c r="BH25" i="6"/>
  <c r="BI25" i="6"/>
  <c r="BJ25" i="6"/>
  <c r="BK25" i="6"/>
  <c r="BL25" i="6"/>
  <c r="BB27" i="6"/>
  <c r="BC27" i="6"/>
  <c r="BD27" i="6"/>
  <c r="BE27" i="6"/>
  <c r="BH27" i="6"/>
  <c r="BI27" i="6"/>
  <c r="BJ27" i="6"/>
  <c r="BK27" i="6"/>
  <c r="BL27" i="6"/>
  <c r="BB28" i="6"/>
  <c r="BC28" i="6"/>
  <c r="BD28" i="6"/>
  <c r="BE28" i="6"/>
  <c r="BH28" i="6"/>
  <c r="BI28" i="6"/>
  <c r="BJ28" i="6"/>
  <c r="BK28" i="6"/>
  <c r="BL28" i="6"/>
  <c r="BH29" i="6"/>
  <c r="BI29" i="6"/>
  <c r="BJ29" i="6"/>
  <c r="BK29" i="6"/>
  <c r="BL29" i="6"/>
  <c r="BB30" i="6"/>
  <c r="BC30" i="6"/>
  <c r="BD30" i="6"/>
  <c r="BE30" i="6"/>
  <c r="BH30" i="6"/>
  <c r="BI30" i="6"/>
  <c r="BJ30" i="6"/>
  <c r="BK30" i="6"/>
  <c r="BL30" i="6"/>
  <c r="BB31" i="6"/>
  <c r="BC31" i="6"/>
  <c r="BD31" i="6"/>
  <c r="BE31" i="6"/>
  <c r="BH31" i="6"/>
  <c r="BI31" i="6"/>
  <c r="BJ31" i="6"/>
  <c r="BK31" i="6"/>
  <c r="BL31" i="6"/>
  <c r="BB32" i="6"/>
  <c r="BC32" i="6"/>
  <c r="BD32" i="6"/>
  <c r="BE32" i="6"/>
  <c r="BF32" i="6"/>
  <c r="BH32" i="6"/>
  <c r="BI32" i="6"/>
  <c r="BJ32" i="6"/>
  <c r="BK32" i="6"/>
  <c r="BL32" i="6"/>
  <c r="BB33" i="6"/>
  <c r="BC33" i="6"/>
  <c r="BD33" i="6"/>
  <c r="BE33" i="6"/>
  <c r="BF33" i="6"/>
  <c r="BH33" i="6"/>
  <c r="BI33" i="6"/>
  <c r="BJ33" i="6"/>
  <c r="BK33" i="6"/>
  <c r="BL33" i="6"/>
  <c r="BB34" i="6"/>
  <c r="BC34" i="6"/>
  <c r="BD34" i="6"/>
  <c r="BE34" i="6"/>
  <c r="BF34" i="6"/>
  <c r="BH34" i="6"/>
  <c r="BI34" i="6"/>
  <c r="BJ34" i="6"/>
  <c r="BK34" i="6"/>
  <c r="BL34" i="6"/>
  <c r="AV23" i="6"/>
  <c r="AW23" i="6"/>
  <c r="AX23" i="6"/>
  <c r="AY23" i="6"/>
  <c r="AZ23" i="6"/>
  <c r="AV27" i="6"/>
  <c r="AW27" i="6"/>
  <c r="AX27" i="6"/>
  <c r="AY27" i="6"/>
  <c r="AZ27" i="6"/>
  <c r="AW28" i="6"/>
  <c r="AX28" i="6"/>
  <c r="AY28" i="6"/>
  <c r="AZ28" i="6"/>
  <c r="AW30" i="6"/>
  <c r="AX30" i="6"/>
  <c r="AY30" i="6"/>
  <c r="AZ30" i="6"/>
  <c r="AV31" i="6"/>
  <c r="AW31" i="6"/>
  <c r="AX31" i="6"/>
  <c r="AY31" i="6"/>
  <c r="AZ31" i="6"/>
  <c r="AV32" i="6"/>
  <c r="AW32" i="6"/>
  <c r="AX32" i="6"/>
  <c r="AY32" i="6"/>
  <c r="AZ32" i="6"/>
  <c r="AV33" i="6"/>
  <c r="AW33" i="6"/>
  <c r="AX33" i="6"/>
  <c r="AY33" i="6"/>
  <c r="AZ33" i="6"/>
  <c r="AV34" i="6"/>
  <c r="AW34" i="6"/>
  <c r="AX34" i="6"/>
  <c r="AY34" i="6"/>
  <c r="AZ34" i="6"/>
  <c r="AK23" i="6"/>
  <c r="AL23" i="6"/>
  <c r="AM23" i="6"/>
  <c r="AN23" i="6"/>
  <c r="AL24" i="6"/>
  <c r="AK27" i="6"/>
  <c r="AL27" i="6"/>
  <c r="AM27" i="6"/>
  <c r="AN27" i="6"/>
  <c r="AK28" i="6"/>
  <c r="AL28" i="6"/>
  <c r="AM28" i="6"/>
  <c r="AN28" i="6"/>
  <c r="AK30" i="6"/>
  <c r="AL30" i="6"/>
  <c r="AM30" i="6"/>
  <c r="AN30" i="6"/>
  <c r="AK31" i="6"/>
  <c r="AL31" i="6"/>
  <c r="AM31" i="6"/>
  <c r="AN31" i="6"/>
  <c r="AK17" i="6"/>
  <c r="AK29" i="6" s="1"/>
  <c r="AL17" i="6"/>
  <c r="AL29" i="6" s="1"/>
  <c r="AM17" i="6"/>
  <c r="AM29" i="6" s="1"/>
  <c r="AN17" i="6"/>
  <c r="AN22" i="6" s="1"/>
  <c r="AN26" i="6" s="1"/>
  <c r="AJ17" i="6"/>
  <c r="AJ25" i="6" s="1"/>
  <c r="AJ23" i="6"/>
  <c r="AJ27" i="6"/>
  <c r="AJ28" i="6"/>
  <c r="AJ30" i="6"/>
  <c r="AJ31" i="6"/>
  <c r="AD32" i="6"/>
  <c r="AE32" i="6"/>
  <c r="AF32" i="6"/>
  <c r="AG32" i="6"/>
  <c r="AH32" i="6"/>
  <c r="AD33" i="6"/>
  <c r="AE33" i="6"/>
  <c r="AF33" i="6"/>
  <c r="AG33" i="6"/>
  <c r="AH33" i="6"/>
  <c r="AD34" i="6"/>
  <c r="AE34" i="6"/>
  <c r="AF34" i="6"/>
  <c r="AG34" i="6"/>
  <c r="AH34" i="6"/>
  <c r="Y32" i="6"/>
  <c r="Z32" i="6"/>
  <c r="AA32" i="6"/>
  <c r="AB32" i="6"/>
  <c r="Y33" i="6"/>
  <c r="Z33" i="6"/>
  <c r="AA33" i="6"/>
  <c r="AB33" i="6"/>
  <c r="Y34" i="6"/>
  <c r="Z34" i="6"/>
  <c r="AA34" i="6"/>
  <c r="AB34" i="6"/>
  <c r="P23" i="6"/>
  <c r="Q23" i="6"/>
  <c r="R23" i="6"/>
  <c r="P27" i="6"/>
  <c r="Q27" i="6"/>
  <c r="R27" i="6"/>
  <c r="P28" i="6"/>
  <c r="Q28" i="6"/>
  <c r="R28" i="6"/>
  <c r="P30" i="6"/>
  <c r="Q30" i="6"/>
  <c r="R30" i="6"/>
  <c r="P31" i="6"/>
  <c r="Q31" i="6"/>
  <c r="R31" i="6"/>
  <c r="P32" i="6"/>
  <c r="Q32" i="6"/>
  <c r="R32" i="6"/>
  <c r="P33" i="6"/>
  <c r="Q33" i="6"/>
  <c r="R33" i="6"/>
  <c r="P34" i="6"/>
  <c r="Q34" i="6"/>
  <c r="R34" i="6"/>
  <c r="I22" i="6"/>
  <c r="J22" i="6"/>
  <c r="K22" i="6"/>
  <c r="L22" i="6"/>
  <c r="M22" i="6"/>
  <c r="I23" i="6"/>
  <c r="J23" i="6"/>
  <c r="K23" i="6"/>
  <c r="L23" i="6"/>
  <c r="M23" i="6"/>
  <c r="O23" i="6"/>
  <c r="I27" i="6"/>
  <c r="J27" i="6"/>
  <c r="K27" i="6"/>
  <c r="L27" i="6"/>
  <c r="M27" i="6"/>
  <c r="O27" i="6"/>
  <c r="I28" i="6"/>
  <c r="J28" i="6"/>
  <c r="K28" i="6"/>
  <c r="L28" i="6"/>
  <c r="M28" i="6"/>
  <c r="O28" i="6"/>
  <c r="I29" i="6"/>
  <c r="J29" i="6"/>
  <c r="K29" i="6"/>
  <c r="L29" i="6"/>
  <c r="M29" i="6"/>
  <c r="I30" i="6"/>
  <c r="J30" i="6"/>
  <c r="K30" i="6"/>
  <c r="L30" i="6"/>
  <c r="M30" i="6"/>
  <c r="O30" i="6"/>
  <c r="O31" i="6"/>
  <c r="I32" i="6"/>
  <c r="J32" i="6"/>
  <c r="K32" i="6"/>
  <c r="L32" i="6"/>
  <c r="M32" i="6"/>
  <c r="O32" i="6"/>
  <c r="I33" i="6"/>
  <c r="J33" i="6"/>
  <c r="K33" i="6"/>
  <c r="L33" i="6"/>
  <c r="M33" i="6"/>
  <c r="O33" i="6"/>
  <c r="I34" i="6"/>
  <c r="J34" i="6"/>
  <c r="K34" i="6"/>
  <c r="L34" i="6"/>
  <c r="M34" i="6"/>
  <c r="O34" i="6"/>
  <c r="S17" i="6"/>
  <c r="S22" i="6" s="1"/>
  <c r="T17" i="6"/>
  <c r="T25" i="6" s="1"/>
  <c r="U17" i="6"/>
  <c r="V17" i="6"/>
  <c r="W17" i="6"/>
  <c r="W22" i="6" s="1"/>
  <c r="P17" i="6"/>
  <c r="Q17" i="6"/>
  <c r="R17" i="6"/>
  <c r="R22" i="6" s="1"/>
  <c r="R26" i="6" s="1"/>
  <c r="O17" i="6"/>
  <c r="O29" i="6" s="1"/>
  <c r="D22" i="6"/>
  <c r="D26" i="6" s="1"/>
  <c r="E22" i="6"/>
  <c r="E26" i="6" s="1"/>
  <c r="F22" i="6"/>
  <c r="G22" i="6"/>
  <c r="G26" i="6" s="1"/>
  <c r="D23" i="6"/>
  <c r="E23" i="6"/>
  <c r="F23" i="6"/>
  <c r="G23" i="6"/>
  <c r="D24" i="6"/>
  <c r="E24" i="6"/>
  <c r="F24" i="6"/>
  <c r="G24" i="6"/>
  <c r="D25" i="6"/>
  <c r="E25" i="6"/>
  <c r="F25" i="6"/>
  <c r="G25" i="6"/>
  <c r="F26" i="6"/>
  <c r="D27" i="6"/>
  <c r="E27" i="6"/>
  <c r="F27" i="6"/>
  <c r="G27" i="6"/>
  <c r="D28" i="6"/>
  <c r="E28" i="6"/>
  <c r="F28" i="6"/>
  <c r="G28" i="6"/>
  <c r="D29" i="6"/>
  <c r="E29" i="6"/>
  <c r="F29" i="6"/>
  <c r="G29" i="6"/>
  <c r="D30" i="6"/>
  <c r="E30" i="6"/>
  <c r="F30" i="6"/>
  <c r="G30" i="6"/>
  <c r="D31" i="6"/>
  <c r="E31" i="6"/>
  <c r="F31" i="6"/>
  <c r="G31" i="6"/>
  <c r="D32" i="6"/>
  <c r="E32" i="6"/>
  <c r="F32" i="6"/>
  <c r="G32" i="6"/>
  <c r="D33" i="6"/>
  <c r="E33" i="6"/>
  <c r="F33" i="6"/>
  <c r="G33" i="6"/>
  <c r="D34" i="6"/>
  <c r="E34" i="6"/>
  <c r="F34" i="6"/>
  <c r="G34" i="6"/>
  <c r="BB17" i="6"/>
  <c r="BB22" i="6" s="1"/>
  <c r="BB26" i="6" s="1"/>
  <c r="AW17" i="6"/>
  <c r="AW24" i="6" s="1"/>
  <c r="BC17" i="6"/>
  <c r="BC22" i="6" s="1"/>
  <c r="BC26" i="6" s="1"/>
  <c r="BD17" i="6"/>
  <c r="BD22" i="6" s="1"/>
  <c r="BD26" i="6" s="1"/>
  <c r="BE17" i="6"/>
  <c r="BE22" i="6" s="1"/>
  <c r="BE26" i="6" s="1"/>
  <c r="BF17" i="6"/>
  <c r="AZ17" i="6"/>
  <c r="AZ25" i="6" s="1"/>
  <c r="T33" i="6" l="1"/>
  <c r="BB25" i="6"/>
  <c r="AL25" i="6"/>
  <c r="AJ24" i="6"/>
  <c r="AM25" i="6"/>
  <c r="AJ22" i="6"/>
  <c r="AJ26" i="6" s="1"/>
  <c r="AN24" i="6"/>
  <c r="AK22" i="6"/>
  <c r="AK26" i="6" s="1"/>
  <c r="AK25" i="6"/>
  <c r="AK24" i="6"/>
  <c r="BC25" i="6"/>
  <c r="AJ29" i="6"/>
  <c r="AM22" i="6"/>
  <c r="AM26" i="6" s="1"/>
  <c r="AW25" i="6"/>
  <c r="AL22" i="6"/>
  <c r="AL26" i="6" s="1"/>
  <c r="BD29" i="6"/>
  <c r="BC24" i="6"/>
  <c r="U22" i="6"/>
  <c r="T22" i="6"/>
  <c r="T27" i="6" s="1"/>
  <c r="T32" i="6" s="1"/>
  <c r="BE29" i="6"/>
  <c r="AM24" i="6"/>
  <c r="BC29" i="6"/>
  <c r="BB24" i="6"/>
  <c r="AZ22" i="6"/>
  <c r="AZ26" i="6" s="1"/>
  <c r="AW22" i="6"/>
  <c r="AW26" i="6" s="1"/>
  <c r="V22" i="6"/>
  <c r="O22" i="6"/>
  <c r="O26" i="6" s="1"/>
  <c r="O24" i="6"/>
  <c r="R24" i="6"/>
  <c r="R25" i="6"/>
  <c r="R29" i="6"/>
  <c r="AZ29" i="6"/>
  <c r="BF22" i="6"/>
  <c r="Q25" i="6"/>
  <c r="Q29" i="6"/>
  <c r="Q22" i="6"/>
  <c r="Q26" i="6" s="1"/>
  <c r="P25" i="6"/>
  <c r="P29" i="6"/>
  <c r="P22" i="6"/>
  <c r="P26" i="6" s="1"/>
  <c r="BE24" i="6"/>
  <c r="AZ24" i="6"/>
  <c r="BD24" i="6"/>
  <c r="Q24" i="6"/>
  <c r="P24" i="6"/>
  <c r="BE25" i="6"/>
  <c r="BD25" i="6"/>
  <c r="O25" i="6"/>
  <c r="BB29" i="6"/>
  <c r="AW29" i="6"/>
  <c r="AN29" i="6"/>
  <c r="AN25" i="6"/>
  <c r="H17" i="1"/>
  <c r="BF29" i="1"/>
  <c r="AS29" i="1"/>
  <c r="AF29" i="1"/>
  <c r="S29" i="1"/>
  <c r="F29" i="1"/>
  <c r="T30" i="6" l="1"/>
  <c r="H32" i="1"/>
  <c r="H38" i="1"/>
  <c r="H45" i="1"/>
  <c r="H34" i="1"/>
  <c r="AF20" i="1"/>
  <c r="S20" i="1"/>
  <c r="S9" i="1"/>
  <c r="S8" i="1"/>
  <c r="S6" i="1"/>
  <c r="S40" i="1" l="1"/>
  <c r="S39" i="1"/>
  <c r="S41" i="1"/>
  <c r="S38" i="1"/>
  <c r="H44" i="1"/>
  <c r="H35" i="1"/>
  <c r="AV29" i="1"/>
  <c r="AI29" i="1"/>
  <c r="V29" i="1"/>
  <c r="I29" i="1"/>
  <c r="BI29" i="1"/>
  <c r="C29" i="1"/>
  <c r="C33" i="6" l="1"/>
  <c r="C32" i="6"/>
  <c r="C34" i="6"/>
  <c r="C31" i="6"/>
  <c r="C29" i="6"/>
  <c r="C30" i="6"/>
  <c r="C28" i="6"/>
  <c r="C27" i="6"/>
  <c r="C25" i="6"/>
  <c r="C24" i="6"/>
  <c r="C22" i="6"/>
  <c r="C26" i="6" s="1"/>
  <c r="C23" i="6"/>
  <c r="AY17" i="6" l="1"/>
  <c r="AX17" i="6"/>
  <c r="AV17" i="6"/>
  <c r="AV14" i="6"/>
  <c r="AZ9" i="6"/>
  <c r="AY9" i="6"/>
  <c r="AX9" i="6"/>
  <c r="AW9" i="6"/>
  <c r="AV9" i="6"/>
  <c r="AZ8" i="6"/>
  <c r="AY8" i="6"/>
  <c r="AX8" i="6"/>
  <c r="AW8" i="6"/>
  <c r="AV8" i="6"/>
  <c r="AN20" i="6"/>
  <c r="AM20" i="6"/>
  <c r="AL20" i="6"/>
  <c r="AK20" i="6"/>
  <c r="AK34" i="6" s="1"/>
  <c r="AJ20" i="6"/>
  <c r="AN9" i="6"/>
  <c r="AM9" i="6"/>
  <c r="AL9" i="6"/>
  <c r="AK9" i="6"/>
  <c r="AJ9" i="6"/>
  <c r="AN8" i="6"/>
  <c r="AM8" i="6"/>
  <c r="AL8" i="6"/>
  <c r="AK8" i="6"/>
  <c r="AJ8" i="6"/>
  <c r="J13" i="6"/>
  <c r="K13" i="6"/>
  <c r="L13" i="6"/>
  <c r="M13" i="6"/>
  <c r="I13" i="6"/>
  <c r="M9" i="6"/>
  <c r="L9" i="6"/>
  <c r="K9" i="6"/>
  <c r="J9" i="6"/>
  <c r="I9" i="6"/>
  <c r="M28" i="4"/>
  <c r="F23" i="4"/>
  <c r="J23" i="4"/>
  <c r="K23" i="4"/>
  <c r="P23" i="4"/>
  <c r="R23" i="4"/>
  <c r="D24" i="4"/>
  <c r="F24" i="4"/>
  <c r="G24" i="4"/>
  <c r="H24" i="4"/>
  <c r="I24" i="4"/>
  <c r="J24" i="4"/>
  <c r="K24" i="4"/>
  <c r="L24" i="4"/>
  <c r="M24" i="4"/>
  <c r="N24" i="4"/>
  <c r="O24" i="4"/>
  <c r="P24" i="4"/>
  <c r="Q24" i="4"/>
  <c r="R24" i="4"/>
  <c r="S24" i="4"/>
  <c r="T24" i="4"/>
  <c r="U24" i="4"/>
  <c r="V24" i="4"/>
  <c r="H25" i="4"/>
  <c r="D27" i="4"/>
  <c r="F27" i="4"/>
  <c r="G27" i="4"/>
  <c r="H27" i="4"/>
  <c r="I27" i="4"/>
  <c r="J27" i="4"/>
  <c r="K27" i="4"/>
  <c r="L27" i="4"/>
  <c r="M27" i="4"/>
  <c r="N27" i="4"/>
  <c r="O27" i="4"/>
  <c r="P27" i="4"/>
  <c r="Q27" i="4"/>
  <c r="R27" i="4"/>
  <c r="S27" i="4"/>
  <c r="T27" i="4"/>
  <c r="U27" i="4"/>
  <c r="V27" i="4"/>
  <c r="D28" i="4"/>
  <c r="F28" i="4"/>
  <c r="G28" i="4"/>
  <c r="H28" i="4"/>
  <c r="I28" i="4"/>
  <c r="J28" i="4"/>
  <c r="K28" i="4"/>
  <c r="L28" i="4"/>
  <c r="N28" i="4"/>
  <c r="O28" i="4"/>
  <c r="P28" i="4"/>
  <c r="Q28" i="4"/>
  <c r="R28" i="4"/>
  <c r="S28" i="4"/>
  <c r="T28" i="4"/>
  <c r="U28" i="4"/>
  <c r="V28" i="4"/>
  <c r="D29" i="4"/>
  <c r="F29" i="4"/>
  <c r="G29" i="4"/>
  <c r="H29" i="4"/>
  <c r="I29" i="4"/>
  <c r="J29" i="4"/>
  <c r="K29" i="4"/>
  <c r="L29" i="4"/>
  <c r="M29" i="4"/>
  <c r="N29" i="4"/>
  <c r="O29" i="4"/>
  <c r="P29" i="4"/>
  <c r="Q29" i="4"/>
  <c r="R29" i="4"/>
  <c r="S29" i="4"/>
  <c r="T29" i="4"/>
  <c r="U29" i="4"/>
  <c r="V29" i="4"/>
  <c r="D30" i="4"/>
  <c r="F30" i="4"/>
  <c r="G30" i="4"/>
  <c r="H30" i="4"/>
  <c r="I30" i="4"/>
  <c r="J30" i="4"/>
  <c r="K30" i="4"/>
  <c r="L30" i="4"/>
  <c r="M30" i="4"/>
  <c r="N30" i="4"/>
  <c r="O30" i="4"/>
  <c r="P30" i="4"/>
  <c r="Q30" i="4"/>
  <c r="R30" i="4"/>
  <c r="S30" i="4"/>
  <c r="T30" i="4"/>
  <c r="U30" i="4"/>
  <c r="V30" i="4"/>
  <c r="P31" i="4"/>
  <c r="C30" i="4"/>
  <c r="C29" i="4"/>
  <c r="C28" i="4"/>
  <c r="C27" i="4"/>
  <c r="C24" i="4"/>
  <c r="C23" i="4"/>
  <c r="D13" i="4"/>
  <c r="D31" i="4" s="1"/>
  <c r="E13" i="4"/>
  <c r="F13" i="4"/>
  <c r="F31" i="4" s="1"/>
  <c r="G13" i="4"/>
  <c r="G31" i="4" s="1"/>
  <c r="H13" i="4"/>
  <c r="H31" i="4" s="1"/>
  <c r="I13" i="4"/>
  <c r="I31" i="4" s="1"/>
  <c r="J13" i="4"/>
  <c r="J31" i="4" s="1"/>
  <c r="K13" i="4"/>
  <c r="K31" i="4" s="1"/>
  <c r="L13" i="4"/>
  <c r="L23" i="4" s="1"/>
  <c r="M31" i="4"/>
  <c r="N13" i="4"/>
  <c r="N23" i="4" s="1"/>
  <c r="O13" i="4"/>
  <c r="O23" i="4" s="1"/>
  <c r="P13" i="4"/>
  <c r="Q13" i="4"/>
  <c r="Q31" i="4" s="1"/>
  <c r="R13" i="4"/>
  <c r="R31" i="4" s="1"/>
  <c r="S13" i="4"/>
  <c r="S31" i="4" s="1"/>
  <c r="T13" i="4"/>
  <c r="T31" i="4" s="1"/>
  <c r="U13" i="4"/>
  <c r="U31" i="4" s="1"/>
  <c r="V13" i="4"/>
  <c r="V31" i="4" s="1"/>
  <c r="C13" i="4"/>
  <c r="C31" i="4" s="1"/>
  <c r="D22" i="4"/>
  <c r="D25" i="4" s="1"/>
  <c r="F22" i="4"/>
  <c r="F25" i="4" s="1"/>
  <c r="G22" i="4"/>
  <c r="G25" i="4" s="1"/>
  <c r="H22" i="4"/>
  <c r="I22" i="4"/>
  <c r="I25" i="4" s="1"/>
  <c r="J22" i="4"/>
  <c r="J25" i="4" s="1"/>
  <c r="K22" i="4"/>
  <c r="K25" i="4" s="1"/>
  <c r="L22" i="4"/>
  <c r="L25" i="4" s="1"/>
  <c r="M22" i="4"/>
  <c r="M25" i="4" s="1"/>
  <c r="N22" i="4"/>
  <c r="N25" i="4" s="1"/>
  <c r="O22" i="4"/>
  <c r="O25" i="4" s="1"/>
  <c r="P22" i="4"/>
  <c r="P25" i="4" s="1"/>
  <c r="Q22" i="4"/>
  <c r="Q25" i="4" s="1"/>
  <c r="R22" i="4"/>
  <c r="R25" i="4" s="1"/>
  <c r="S22" i="4"/>
  <c r="S25" i="4" s="1"/>
  <c r="T22" i="4"/>
  <c r="T25" i="4" s="1"/>
  <c r="U22" i="4"/>
  <c r="U25" i="4" s="1"/>
  <c r="V22" i="4"/>
  <c r="V25" i="4" s="1"/>
  <c r="C22" i="4"/>
  <c r="C25" i="4" s="1"/>
  <c r="C21" i="4"/>
  <c r="D21" i="4"/>
  <c r="F21" i="4"/>
  <c r="H21" i="4"/>
  <c r="I21" i="4"/>
  <c r="J21" i="4"/>
  <c r="K21" i="4"/>
  <c r="L21" i="4"/>
  <c r="M21" i="4"/>
  <c r="N21" i="4"/>
  <c r="O21" i="4"/>
  <c r="P21" i="4"/>
  <c r="Q21" i="4"/>
  <c r="R21" i="4"/>
  <c r="S21" i="4"/>
  <c r="T21" i="4"/>
  <c r="U21" i="4"/>
  <c r="V21" i="4"/>
  <c r="G21" i="4"/>
  <c r="L31" i="6" l="1"/>
  <c r="K31" i="6"/>
  <c r="J31" i="6"/>
  <c r="AV28" i="6"/>
  <c r="AV25" i="6"/>
  <c r="AV30" i="6"/>
  <c r="AN32" i="6"/>
  <c r="AN33" i="6"/>
  <c r="AN34" i="6"/>
  <c r="AX24" i="6"/>
  <c r="AX29" i="6"/>
  <c r="AX25" i="6"/>
  <c r="AX22" i="6"/>
  <c r="AX26" i="6" s="1"/>
  <c r="AY24" i="6"/>
  <c r="AY29" i="6"/>
  <c r="AY25" i="6"/>
  <c r="AY22" i="6"/>
  <c r="AY26" i="6" s="1"/>
  <c r="I31" i="6"/>
  <c r="AJ32" i="6"/>
  <c r="AJ33" i="6"/>
  <c r="AJ34" i="6"/>
  <c r="AK32" i="6"/>
  <c r="AK33" i="6"/>
  <c r="AL32" i="6"/>
  <c r="AL33" i="6"/>
  <c r="AL34" i="6"/>
  <c r="AM32" i="6"/>
  <c r="AM33" i="6"/>
  <c r="AM34" i="6"/>
  <c r="AV24" i="6"/>
  <c r="AV29" i="6"/>
  <c r="AV22" i="6"/>
  <c r="AV26" i="6" s="1"/>
  <c r="M31" i="6"/>
  <c r="H23" i="4"/>
  <c r="G23" i="4"/>
  <c r="I23" i="4"/>
  <c r="V23" i="4"/>
  <c r="D23" i="4"/>
  <c r="T23" i="4"/>
  <c r="U23" i="4"/>
  <c r="S23" i="4"/>
  <c r="O31" i="4"/>
  <c r="N31" i="4"/>
  <c r="L31" i="4"/>
  <c r="Q23" i="4"/>
  <c r="M23" i="4"/>
  <c r="Z17" i="1"/>
  <c r="C44" i="1"/>
  <c r="Z45" i="1" l="1"/>
  <c r="Z32" i="1"/>
  <c r="Z38" i="1"/>
  <c r="Z34" i="1"/>
  <c r="Z35" i="1" l="1"/>
  <c r="Z44" i="1"/>
  <c r="BC13" i="1"/>
  <c r="BC33" i="1" l="1"/>
  <c r="BC40" i="1"/>
  <c r="BC43" i="1"/>
  <c r="C45" i="1"/>
  <c r="BO29" i="1"/>
  <c r="BB29" i="1"/>
  <c r="AO29" i="1"/>
  <c r="AB29" i="1"/>
  <c r="O29" i="1"/>
  <c r="BN29" i="1"/>
  <c r="BA29" i="1"/>
  <c r="AN29" i="1"/>
  <c r="AA29" i="1"/>
  <c r="N29" i="1"/>
  <c r="BM29" i="1"/>
  <c r="AZ29" i="1"/>
  <c r="AM29" i="1"/>
  <c r="Z29" i="1"/>
  <c r="M29" i="1"/>
  <c r="BL29" i="1"/>
  <c r="AY29" i="1"/>
  <c r="AL29" i="1"/>
  <c r="Y29" i="1"/>
  <c r="L29" i="1"/>
  <c r="BK29" i="1"/>
  <c r="AX29" i="1"/>
  <c r="AK29" i="1"/>
  <c r="X29" i="1"/>
  <c r="K29" i="1"/>
  <c r="AJ29" i="1"/>
  <c r="AW29" i="1"/>
  <c r="BJ29" i="1"/>
  <c r="W29" i="1"/>
  <c r="J29" i="1"/>
  <c r="BH29" i="1"/>
  <c r="AU29" i="1"/>
  <c r="AH29" i="1"/>
  <c r="BG29" i="1"/>
  <c r="AT29" i="1"/>
  <c r="AG29" i="1"/>
  <c r="U29" i="1"/>
  <c r="H29" i="1"/>
  <c r="T29" i="1"/>
  <c r="G29" i="1"/>
  <c r="BE29" i="1"/>
  <c r="AR29" i="1"/>
  <c r="AE29" i="1"/>
  <c r="R29" i="1"/>
  <c r="E29" i="1"/>
  <c r="BD29" i="1"/>
  <c r="AQ29" i="1"/>
  <c r="AD29" i="1"/>
  <c r="Q29" i="1"/>
  <c r="D29" i="1"/>
  <c r="BC29" i="1"/>
  <c r="AP29" i="1"/>
  <c r="AC29" i="1"/>
  <c r="P29" i="1"/>
  <c r="C42" i="1" l="1"/>
  <c r="C41" i="1"/>
  <c r="C31" i="1"/>
  <c r="C39" i="1" l="1"/>
  <c r="C38" i="1"/>
  <c r="C37" i="1"/>
  <c r="C35" i="1"/>
  <c r="BG13" i="1"/>
  <c r="BH13" i="1"/>
  <c r="BL13" i="1"/>
  <c r="BM13" i="1"/>
  <c r="E13" i="1"/>
  <c r="G13" i="1"/>
  <c r="P13" i="1"/>
  <c r="R13" i="1"/>
  <c r="T13" i="1"/>
  <c r="U13" i="1"/>
  <c r="Z13" i="1"/>
  <c r="AC13" i="1"/>
  <c r="AE13" i="1"/>
  <c r="AG13" i="1"/>
  <c r="AH13" i="1"/>
  <c r="AM13" i="1"/>
  <c r="AP13" i="1"/>
  <c r="AR13" i="1"/>
  <c r="AT13" i="1"/>
  <c r="AU13" i="1"/>
  <c r="AZ13" i="1"/>
  <c r="BE13" i="1"/>
  <c r="C13" i="1"/>
  <c r="C33" i="1" s="1"/>
  <c r="U17" i="1"/>
  <c r="U9" i="1"/>
  <c r="U8" i="1"/>
  <c r="U7" i="1"/>
  <c r="U5" i="1"/>
  <c r="U37" i="1" s="1"/>
  <c r="R9" i="1"/>
  <c r="R8" i="1"/>
  <c r="Y20" i="1"/>
  <c r="L20" i="1"/>
  <c r="Y16" i="1"/>
  <c r="Y17" i="1" s="1"/>
  <c r="Y12" i="1"/>
  <c r="Y13" i="1" s="1"/>
  <c r="L17" i="1"/>
  <c r="L12" i="1"/>
  <c r="L10" i="1"/>
  <c r="H10" i="1"/>
  <c r="H9" i="1"/>
  <c r="H8" i="1"/>
  <c r="H7" i="1"/>
  <c r="H5" i="1"/>
  <c r="H37" i="1" s="1"/>
  <c r="E16" i="1"/>
  <c r="E14" i="1"/>
  <c r="E7" i="1"/>
  <c r="E4" i="1"/>
  <c r="AP33" i="1" l="1"/>
  <c r="AP40" i="1"/>
  <c r="AP43" i="1"/>
  <c r="Y43" i="1"/>
  <c r="Y33" i="1"/>
  <c r="Y40" i="1"/>
  <c r="BM40" i="1"/>
  <c r="BM33" i="1"/>
  <c r="BM43" i="1"/>
  <c r="E46" i="1"/>
  <c r="E42" i="1"/>
  <c r="AH33" i="1"/>
  <c r="AH43" i="1"/>
  <c r="AH40" i="1"/>
  <c r="BL40" i="1"/>
  <c r="BL33" i="1"/>
  <c r="BL43" i="1"/>
  <c r="AG33" i="1"/>
  <c r="AG40" i="1"/>
  <c r="AG43" i="1"/>
  <c r="AE40" i="1"/>
  <c r="AE33" i="1"/>
  <c r="AE43" i="1"/>
  <c r="BG43" i="1"/>
  <c r="BG33" i="1"/>
  <c r="BG40" i="1"/>
  <c r="AC40" i="1"/>
  <c r="AC43" i="1"/>
  <c r="AC33" i="1"/>
  <c r="U45" i="1"/>
  <c r="U38" i="1"/>
  <c r="U32" i="1"/>
  <c r="U34" i="1"/>
  <c r="AR33" i="1"/>
  <c r="AR40" i="1"/>
  <c r="AR43" i="1"/>
  <c r="L32" i="1"/>
  <c r="L38" i="1"/>
  <c r="L45" i="1"/>
  <c r="L34" i="1"/>
  <c r="E40" i="1"/>
  <c r="E33" i="1"/>
  <c r="E43" i="1"/>
  <c r="AM43" i="1"/>
  <c r="AM33" i="1"/>
  <c r="AM40" i="1"/>
  <c r="Y32" i="1"/>
  <c r="Y38" i="1"/>
  <c r="Y45" i="1"/>
  <c r="Y34" i="1"/>
  <c r="E34" i="1"/>
  <c r="E39" i="1"/>
  <c r="E32" i="1"/>
  <c r="BH43" i="1"/>
  <c r="BH33" i="1"/>
  <c r="BH40" i="1"/>
  <c r="H31" i="1"/>
  <c r="H46" i="1"/>
  <c r="H42" i="1"/>
  <c r="Z43" i="1"/>
  <c r="Z33" i="1"/>
  <c r="Z40" i="1"/>
  <c r="BE33" i="1"/>
  <c r="BE40" i="1"/>
  <c r="BE43" i="1"/>
  <c r="U33" i="1"/>
  <c r="U40" i="1"/>
  <c r="U43" i="1"/>
  <c r="U46" i="1"/>
  <c r="U31" i="1"/>
  <c r="U42" i="1"/>
  <c r="AZ40" i="1"/>
  <c r="AZ33" i="1"/>
  <c r="AZ43" i="1"/>
  <c r="T40" i="1"/>
  <c r="T33" i="1"/>
  <c r="T43" i="1"/>
  <c r="AU43" i="1"/>
  <c r="AU33" i="1"/>
  <c r="AU40" i="1"/>
  <c r="R33" i="1"/>
  <c r="R40" i="1"/>
  <c r="R43" i="1"/>
  <c r="AT33" i="1"/>
  <c r="AT43" i="1"/>
  <c r="AT40" i="1"/>
  <c r="P40" i="1"/>
  <c r="P43" i="1"/>
  <c r="P33" i="1"/>
  <c r="L13" i="1"/>
  <c r="H13" i="1"/>
  <c r="C43" i="1"/>
  <c r="C40" i="1"/>
  <c r="Y44" i="1" l="1"/>
  <c r="Y35" i="1"/>
  <c r="U44" i="1"/>
  <c r="U35" i="1"/>
  <c r="H33" i="1"/>
  <c r="H40" i="1"/>
  <c r="H43" i="1"/>
  <c r="L43" i="1"/>
  <c r="L33" i="1"/>
  <c r="L40" i="1"/>
  <c r="E35" i="1"/>
  <c r="E44" i="1"/>
  <c r="L44" i="1"/>
  <c r="L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tc={6B6A9FDB-D893-4C82-A2B1-E3E7764F6BDA}</author>
    <author>tc={A19E7B82-262C-4507-87E0-4A5339D7AB7A}</author>
    <author>tc={4410301E-9F47-4C5E-9D63-367715C50492}</author>
    <author>tc={06A5AE17-0B7C-4D41-898E-E16460DC2AD8}</author>
    <author>tc={7E0E58B2-E934-41DF-995B-FC634A0994E4}</author>
    <author>tc={82395DAB-050F-43BA-A54C-4BB194730395}</author>
    <author>tc={F9D9F23A-47D6-4B16-86D3-F51B9CD70C87}</author>
    <author>tc={688884C0-9C77-4013-ACC1-826E296CAF41}</author>
    <author>tc={8EE30F3B-5B7B-4B52-956C-F1418301600E}</author>
    <author>tc={3FCD99CB-5357-47DF-AF7B-5E47746C2821}</author>
    <author>tc={8B558152-195E-4ABD-8876-45342CCF4357}</author>
    <author>tc={17216626-1F78-4653-9E09-DD8595642A4A}</author>
    <author>tc={2FC263D2-CD01-4D0E-A351-4BE8652C681B}</author>
    <author>tc={F84736DD-0AED-4CB6-9BBA-8C167E602659}</author>
    <author>tc={1E33F52E-9CF4-4E63-86F5-1B6ECF56335F}</author>
    <author>tc={0F53988E-A4DA-439D-959A-AD4D930C9438}</author>
    <author>tc={2B2127E2-5DE2-4F8C-AA05-B10A8EBBE13C}</author>
    <author>tc={B14A185B-78EA-482D-A266-5045B4C5A5FA}</author>
  </authors>
  <commentList>
    <comment ref="I3" authorId="0" shapeId="0" xr:uid="{6B6A9FDB-D893-4C82-A2B1-E3E7764F6BDA}">
      <text>
        <t>[Kommentartråd]
Din versjon av Excel lar deg lese denne kommentartråden. Eventuelle endringer i den vil imidlertid bli fjernet hvis filen åpnes i en nyere versjon av Excel. Finn ut mer: https://go.microsoft.com/fwlink/?linkid=870924
Kommentar:
    (Økonomi inkluderer ferje)</t>
      </text>
    </comment>
    <comment ref="V3" authorId="1" shapeId="0" xr:uid="{A19E7B82-262C-4507-87E0-4A5339D7AB7A}">
      <text>
        <t>[Kommentartråd]
Din versjon av Excel lar deg lese denne kommentartråden. Eventuelle endringer i den vil imidlertid bli fjernet hvis filen åpnes i en nyere versjon av Excel. Finn ut mer: https://go.microsoft.com/fwlink/?linkid=870924
Kommentar:
    (Økonomi inkluderer ferje)</t>
      </text>
    </comment>
    <comment ref="AI3" authorId="2" shapeId="0" xr:uid="{4410301E-9F47-4C5E-9D63-367715C50492}">
      <text>
        <t>[Kommentartråd]
Din versjon av Excel lar deg lese denne kommentartråden. Eventuelle endringer i den vil imidlertid bli fjernet hvis filen åpnes i en nyere versjon av Excel. Finn ut mer: https://go.microsoft.com/fwlink/?linkid=870924
Kommentar:
    (Økonomi inkluderer ferje)</t>
      </text>
    </comment>
    <comment ref="AV3" authorId="3" shapeId="0" xr:uid="{06A5AE17-0B7C-4D41-898E-E16460DC2AD8}">
      <text>
        <t>[Kommentartråd]
Din versjon av Excel lar deg lese denne kommentartråden. Eventuelle endringer i den vil imidlertid bli fjernet hvis filen åpnes i en nyere versjon av Excel. Finn ut mer: https://go.microsoft.com/fwlink/?linkid=870924
Kommentar:
    (Økonomi inkluderer ferje)</t>
      </text>
    </comment>
    <comment ref="BI3" authorId="4" shapeId="0" xr:uid="{7E0E58B2-E934-41DF-995B-FC634A0994E4}">
      <text>
        <t>[Kommentartråd]
Din versjon av Excel lar deg lese denne kommentartråden. Eventuelle endringer i den vil imidlertid bli fjernet hvis filen åpnes i en nyere versjon av Excel. Finn ut mer: https://go.microsoft.com/fwlink/?linkid=870924
Kommentar:
    (Økonomi inkluderer ferje)</t>
      </text>
    </comment>
    <comment ref="CD3" authorId="5" shapeId="0" xr:uid="{82395DAB-050F-43BA-A54C-4BB194730395}">
      <text>
        <t>[Kommentartråd]
Din versjon av Excel lar deg lese denne kommentartråden. Eventuelle endringer i den vil imidlertid bli fjernet hvis filen åpnes i en nyere versjon av Excel. Finn ut mer: https://go.microsoft.com/fwlink/?linkid=870924
Kommentar:
    Konstruert for å skape kontinuitet</t>
      </text>
    </comment>
    <comment ref="G4" authorId="6" shapeId="0" xr:uid="{F9D9F23A-47D6-4B16-86D3-F51B9CD70C87}">
      <text>
        <t>[Kommentartråd]
Din versjon av Excel lar deg lese denne kommentartråden. Eventuelle endringer i den vil imidlertid bli fjernet hvis filen åpnes i en nyere versjon av Excel. Finn ut mer: https://go.microsoft.com/fwlink/?linkid=870924
Kommentar:
    2019 tall for båt mangler</t>
      </text>
    </comment>
    <comment ref="BM4" authorId="7" shapeId="0" xr:uid="{688884C0-9C77-4013-ACC1-826E296CAF41}">
      <text>
        <t>[Kommentartråd]
Din versjon av Excel lar deg lese denne kommentartråden. Eventuelle endringer i den vil imidlertid bli fjernet hvis filen åpnes i en nyere versjon av Excel. Finn ut mer: https://go.microsoft.com/fwlink/?linkid=870924
Kommentar:
    Buss + båt</t>
      </text>
    </comment>
    <comment ref="CA4" authorId="8" shapeId="0" xr:uid="{8EE30F3B-5B7B-4B52-956C-F1418301600E}">
      <text>
        <t>[Kommentartråd]
Din versjon av Excel lar deg lese denne kommentartråden. Eventuelle endringer i den vil imidlertid bli fjernet hvis filen åpnes i en nyere versjon av Excel. Finn ut mer: https://go.microsoft.com/fwlink/?linkid=870924
Kommentar:
    Ingen tall for ferge</t>
      </text>
    </comment>
    <comment ref="CB4" authorId="9" shapeId="0" xr:uid="{3FCD99CB-5357-47DF-AF7B-5E47746C2821}">
      <text>
        <t>[Kommentartråd]
Din versjon av Excel lar deg lese denne kommentartråden. Eventuelle endringer i den vil imidlertid bli fjernet hvis filen åpnes i en nyere versjon av Excel. Finn ut mer: https://go.microsoft.com/fwlink/?linkid=870924
Kommentar:
    Ingen tall for ferge</t>
      </text>
    </comment>
    <comment ref="D10" authorId="10" shapeId="0" xr:uid="{8B558152-195E-4ABD-8876-45342CCF4357}">
      <text>
        <t>[Kommentartråd]
Din versjon av Excel lar deg lese denne kommentartråden. Eventuelle endringer i den vil imidlertid bli fjernet hvis filen åpnes i en nyere versjon av Excel. Finn ut mer: https://go.microsoft.com/fwlink/?linkid=870924
Kommentar:
    Jeg har lagt til kosntnadene for hurtigbåt</t>
      </text>
    </comment>
    <comment ref="N17" authorId="11" shapeId="0" xr:uid="{17216626-1F78-4653-9E09-DD8595642A4A}">
      <text>
        <t>[Kommentartråd]
Din versjon av Excel lar deg lese denne kommentartråden. Eventuelle endringer i den vil imidlertid bli fjernet hvis filen åpnes i en nyere versjon av Excel. Finn ut mer: https://go.microsoft.com/fwlink/?linkid=870924
Kommentar:
    Rapportert kun driftskostnader</t>
      </text>
    </comment>
    <comment ref="BQ17" authorId="12" shapeId="0" xr:uid="{2FC263D2-CD01-4D0E-A351-4BE8652C681B}">
      <text>
        <t>[Kommentartråd]
Din versjon av Excel lar deg lese denne kommentartråden. Eventuelle endringer i den vil imidlertid bli fjernet hvis filen åpnes i en nyere versjon av Excel. Finn ut mer: https://go.microsoft.com/fwlink/?linkid=870924
Kommentar:
    Uten busskostnader</t>
      </text>
    </comment>
    <comment ref="BT19" authorId="13" shapeId="0" xr:uid="{F84736DD-0AED-4CB6-9BBA-8C167E602659}">
      <text>
        <t xml:space="preserve">[Kommentartråd]
Din versjon av Excel lar deg lese denne kommentartråden. Eventuelle endringer i den vil imidlertid bli fjernet hvis filen åpnes i en nyere versjon av Excel. Finn ut mer: https://go.microsoft.com/fwlink/?linkid=870924
Kommentar:
    Lavere utslipp fra 2023 (-10%)  handler skyldes i hovedsak at vi kun har inkludert kjørte km i rutetrafikk, ikke kjørte km totalt. 
</t>
      </text>
    </comment>
    <comment ref="BU19" authorId="14" shapeId="0" xr:uid="{1E33F52E-9CF4-4E63-86F5-1B6ECF56335F}">
      <text>
        <t>[Kommentartråd]
Din versjon av Excel lar deg lese denne kommentartråden. Eventuelle endringer i den vil imidlertid bli fjernet hvis filen åpnes i en nyere versjon av Excel. Finn ut mer: https://go.microsoft.com/fwlink/?linkid=870924
Kommentar:
    2020-2023 Vestfold og Telemark . 2024 kun Telemark.
Tallene inkluderer kun 50 % av utslippet knyttet til ferge, fordi fylkeskommunens eierandel til fergeselskapene var 50 %.
 Utslipp i rad 13 samsvarer derfor ikke med reelt forbruk drivstoff som er opplyst.</t>
      </text>
    </comment>
    <comment ref="BQ20" authorId="15" shapeId="0" xr:uid="{0F53988E-A4DA-439D-959A-AD4D930C9438}">
      <text>
        <t>[Kommentartråd]
Din versjon av Excel lar deg lese denne kommentartråden. Eventuelle endringer i den vil imidlertid bli fjernet hvis filen åpnes i en nyere versjon av Excel. Finn ut mer: https://go.microsoft.com/fwlink/?linkid=870924
Kommentar:
    Har ikke tall</t>
      </text>
    </comment>
    <comment ref="CA20" authorId="16" shapeId="0" xr:uid="{2B2127E2-5DE2-4F8C-AA05-B10A8EBBE13C}">
      <text>
        <t xml:space="preserve">[Kommentartråd]
Din versjon av Excel lar deg lese denne kommentartråden. Eventuelle endringer i den vil imidlertid bli fjernet hvis filen åpnes i en nyere versjon av Excel. Finn ut mer: https://go.microsoft.com/fwlink/?linkid=870924
Kommentar:
    Trolig rapportert feil data foregående år, se mer utfyllende kommentar i e-post. </t>
      </text>
    </comment>
    <comment ref="BP21" authorId="17" shapeId="0" xr:uid="{B14A185B-78EA-482D-A266-5045B4C5A5FA}">
      <text>
        <t>[Kommentartråd]
Din versjon av Excel lar deg lese denne kommentartråden. Eventuelle endringer i den vil imidlertid bli fjernet hvis filen åpnes i en nyere versjon av Excel. Finn ut mer: https://go.microsoft.com/fwlink/?linkid=870924
Kommentar:
    Økningen knyttet til endring i regler for fritt skolevalg i Akershus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tc={66661382-C61D-41DE-A6D9-5E2664F2E35C}</author>
    <author>tc={D49D654B-E2A1-41A3-BA70-C0414E2D1AC4}</author>
    <author>tc={A8B9D23D-850B-4B5D-85B4-29AB7894F75A}</author>
    <author>tc={E6BFF0FA-551F-430C-8B7C-88A8191C5409}</author>
    <author>tc={25DCD6AD-5F79-41E6-A5E3-A0EE51CA2D06}</author>
    <author>tc={1FA26E28-FA12-48DD-8F39-BE51C1C8A937}</author>
    <author>tc={249C6ECD-1A47-44EA-AEEA-EA1D7D30E126}</author>
    <author>tc={8FF62CF4-AD57-40CC-9627-EC946310B220}</author>
    <author>tc={98153068-B086-4D3B-A18A-498C5896AA56}</author>
    <author>tc={A02E7F0E-755E-4D99-BB0B-5F836A6B3DC8}</author>
    <author>tc={EEAF3BB3-C450-4A2A-816A-01ED13B147D6}</author>
    <author>tc={CCE58479-B254-4673-9D61-9C891B89F7AB}</author>
    <author>tc={B738F597-1FA8-46F9-A0C8-F446A16E6FF8}</author>
    <author>tc={59AA0E8C-3247-48BE-AB8E-946E07A32039}</author>
    <author>tc={FBD29F46-6006-46A2-9C0E-3F2DF04F2287}</author>
    <author>tc={9CAD1467-70A5-4DDA-A262-DC0CBF35F2E3}</author>
    <author>tc={D86A7C71-B08C-40AC-92CD-8F3784FA3A5B}</author>
    <author>tc={8553465A-F1F8-4FE3-B214-B2C750C92BBC}</author>
    <author>tc={F57035DB-DA24-4017-9563-3BEC93135764}</author>
  </authors>
  <commentList>
    <comment ref="F3" authorId="0" shapeId="0" xr:uid="{66661382-C61D-41DE-A6D9-5E2664F2E35C}">
      <text>
        <t>[Kommentartråd]
Din versjon av Excel lar deg lese denne kommentartråden. Eventuelle endringer i den vil imidlertid bli fjernet hvis filen åpnes i en nyere versjon av Excel. Finn ut mer: https://go.microsoft.com/fwlink/?linkid=870924
Kommentar:
    Produksjons-, økonomi-, og miljøtall inkluderer data fra 1 båt gjennomgående for alle år.</t>
      </text>
    </comment>
    <comment ref="T3" authorId="1" shapeId="0" xr:uid="{D49D654B-E2A1-41A3-BA70-C0414E2D1AC4}">
      <text>
        <t>[Kommentartråd]
Din versjon av Excel lar deg lese denne kommentartråden. Eventuelle endringer i den vil imidlertid bli fjernet hvis filen åpnes i en nyere versjon av Excel. Finn ut mer: https://go.microsoft.com/fwlink/?linkid=870924
Kommentar:
    Økonomitall for VTFK i årene 2020-2023 inkluderer tall for ferje/båt som da utgjør under 3% av transportarbeidet og ca. 5% billettinntektene.</t>
      </text>
    </comment>
    <comment ref="AH3" authorId="2" shapeId="0" xr:uid="{A8B9D23D-850B-4B5D-85B4-29AB7894F75A}">
      <text>
        <t>[Kommentartråd]
Din versjon av Excel lar deg lese denne kommentartråden. Eventuelle endringer i den vil imidlertid bli fjernet hvis filen åpnes i en nyere versjon av Excel. Finn ut mer: https://go.microsoft.com/fwlink/?linkid=870924
Kommentar:
    Brakar har 2 båter, 1 elektrisk båt og reservebåt som går marin diesel. Produksjons-, økonomi- og utslippstall inkluderer disse 2 båtene</t>
      </text>
    </comment>
    <comment ref="BS4" authorId="3" shapeId="0" xr:uid="{E6BFF0FA-551F-430C-8B7C-88A8191C5409}">
      <text>
        <t xml:space="preserve">[Kommentartråd]
Din versjon av Excel lar deg lese denne kommentartråden. Eventuelle endringer i den vil imidlertid bli fjernet hvis filen åpnes i en nyere versjon av Excel. Finn ut mer: https://go.microsoft.com/fwlink/?linkid=870924
Kommentar:
    Redusert i 2024 pga bussbrann i Nedre Glomma i januar og nedtrekk i tilbudet Moss, Halden og Indre fra 28/10. </t>
      </text>
    </comment>
    <comment ref="CC5" authorId="4" shapeId="0" xr:uid="{25DCD6AD-5F79-41E6-A5E3-A0EE51CA2D06}">
      <text>
        <t>[Kommentartråd]
Din versjon av Excel lar deg lese denne kommentartråden. Eventuelle endringer i den vil imidlertid bli fjernet hvis filen åpnes i en nyere versjon av Excel. Finn ut mer: https://go.microsoft.com/fwlink/?linkid=870924
Kommentar:
    Ikke bestillingstransport inkludert</t>
      </text>
    </comment>
    <comment ref="L10" authorId="5" shapeId="0" xr:uid="{1FA26E28-FA12-48DD-8F39-BE51C1C8A937}">
      <text>
        <t>[Kommentartråd]
Din versjon av Excel lar deg lese denne kommentartråden. Eventuelle endringer i den vil imidlertid bli fjernet hvis filen åpnes i en nyere versjon av Excel. Finn ut mer: https://go.microsoft.com/fwlink/?linkid=870924
Kommentar:
    Rapporterer samlet for båt og buss for hele serien</t>
      </text>
    </comment>
    <comment ref="BT11" authorId="6" shapeId="0" xr:uid="{249C6ECD-1A47-44EA-AEEA-EA1D7D30E126}">
      <text>
        <t>[Kommentartråd]
Din versjon av Excel lar deg lese denne kommentartråden. Eventuelle endringer i den vil imidlertid bli fjernet hvis filen åpnes i en nyere versjon av Excel. Finn ut mer: https://go.microsoft.com/fwlink/?linkid=870924
Kommentar:
    Belønningsordningen</t>
      </text>
    </comment>
    <comment ref="BT14" authorId="7" shapeId="0" xr:uid="{8FF62CF4-AD57-40CC-9627-EC946310B220}">
      <text>
        <t>[Kommentartråd]
Din versjon av Excel lar deg lese denne kommentartråden. Eventuelle endringer i den vil imidlertid bli fjernet hvis filen åpnes i en nyere versjon av Excel. Finn ut mer: https://go.microsoft.com/fwlink/?linkid=870924
Kommentar:
    Se merknader under som gjelder billettinntekter i nettokontrakter</t>
      </text>
    </comment>
    <comment ref="BX14" authorId="8" shapeId="0" xr:uid="{98153068-B086-4D3B-A18A-498C5896AA56}">
      <text>
        <t xml:space="preserve">[Kommentartråd]
Din versjon av Excel lar deg lese denne kommentartråden. Eventuelle endringer i den vil imidlertid bli fjernet hvis filen åpnes i en nyere versjon av Excel. Finn ut mer: https://go.microsoft.com/fwlink/?linkid=870924
Kommentar:
     Lagt til inntekt skoleskyss på 140 MNOK. Denne er ikke rapportert tildligere år, men burde nok vært med </t>
      </text>
    </comment>
    <comment ref="CC17" authorId="9" shapeId="0" xr:uid="{A02E7F0E-755E-4D99-BB0B-5F836A6B3DC8}">
      <text>
        <t>[Kommentartråd]
Din versjon av Excel lar deg lese denne kommentartråden. Eventuelle endringer i den vil imidlertid bli fjernet hvis filen åpnes i en nyere versjon av Excel. Finn ut mer: https://go.microsoft.com/fwlink/?linkid=870924
Kommentar:
    Uten kostnad til øremerket utvidet TT-ordning</t>
      </text>
    </comment>
    <comment ref="N18" authorId="10" shapeId="0" xr:uid="{EEAF3BB3-C450-4A2A-816A-01ED13B147D6}">
      <text>
        <t>[Kommentartråd]
Din versjon av Excel lar deg lese denne kommentartråden. Eventuelle endringer i den vil imidlertid bli fjernet hvis filen åpnes i en nyere versjon av Excel. Finn ut mer: https://go.microsoft.com/fwlink/?linkid=870924
Kommentar:
    Ikke oppgitt for hele serien</t>
      </text>
    </comment>
    <comment ref="O18" authorId="11" shapeId="0" xr:uid="{CCE58479-B254-4673-9D61-9C891B89F7AB}">
      <text>
        <t>[Kommentartråd]
Din versjon av Excel lar deg lese denne kommentartråden. Eventuelle endringer i den vil imidlertid bli fjernet hvis filen åpnes i en nyere versjon av Excel. Finn ut mer: https://go.microsoft.com/fwlink/?linkid=870924
Kommentar:
    Tall oppgitt på materiale er altfor store til å være riktig. Gjelder hele serien (2019-2023)</t>
      </text>
    </comment>
    <comment ref="BZ34" authorId="12" shapeId="0" xr:uid="{B738F597-1FA8-46F9-A0C8-F446A16E6FF8}">
      <text>
        <t>[Kommentartråd]
Din versjon av Excel lar deg lese denne kommentartråden. Eventuelle endringer i den vil imidlertid bli fjernet hvis filen åpnes i en nyere versjon av Excel. Finn ut mer: https://go.microsoft.com/fwlink/?linkid=870924
Kommentar:
    Total: ferje, båt, buss</t>
      </text>
    </comment>
    <comment ref="CC34" authorId="13" shapeId="0" xr:uid="{59AA0E8C-3247-48BE-AB8E-946E07A32039}">
      <text>
        <t>[Kommentartråd]
Din versjon av Excel lar deg lese denne kommentartråden. Eventuelle endringer i den vil imidlertid bli fjernet hvis filen åpnes i en nyere versjon av Excel. Finn ut mer: https://go.microsoft.com/fwlink/?linkid=870924
Kommentar:
    Taxiselskapene rapporterer ikke liter, men kjørte km.</t>
      </text>
    </comment>
    <comment ref="CC38" authorId="14" shapeId="0" xr:uid="{FBD29F46-6006-46A2-9C0E-3F2DF04F2287}">
      <text>
        <t>[Kommentartråd]
Din versjon av Excel lar deg lese denne kommentartråden. Eventuelle endringer i den vil imidlertid bli fjernet hvis filen åpnes i en nyere versjon av Excel. Finn ut mer: https://go.microsoft.com/fwlink/?linkid=870924
Kommentar:
    Oppgis i Nm3 av bussleverandør, omregningsfaktor 1,055 er brukt til Sm3</t>
      </text>
    </comment>
    <comment ref="BT39" authorId="15" shapeId="0" xr:uid="{9CAD1467-70A5-4DDA-A262-DC0CBF35F2E3}">
      <text>
        <t>[Kommentartråd]
Din versjon av Excel lar deg lese denne kommentartråden. Eventuelle endringer i den vil imidlertid bli fjernet hvis filen åpnes i en nyere versjon av Excel. Finn ut mer: https://go.microsoft.com/fwlink/?linkid=870924
Kommentar:
     Forbruk på ferge er ganget med 2 for å vise reellt forbruk (eierandelen til fergeselskapene var 50 %).</t>
      </text>
    </comment>
    <comment ref="BZ39" authorId="16" shapeId="0" xr:uid="{D86A7C71-B08C-40AC-92CD-8F3784FA3A5B}">
      <text>
        <t>[Kommentartråd]
Din versjon av Excel lar deg lese denne kommentartråden. Eventuelle endringer i den vil imidlertid bli fjernet hvis filen åpnes i en nyere versjon av Excel. Finn ut mer: https://go.microsoft.com/fwlink/?linkid=870924
Kommentar:
    Total: ferje, båt, buss</t>
      </text>
    </comment>
    <comment ref="CC39" authorId="17" shapeId="0" xr:uid="{8553465A-F1F8-4FE3-B214-B2C750C92BBC}">
      <text>
        <t>[Kommentartråd]
Din versjon av Excel lar deg lese denne kommentartråden. Eventuelle endringer i den vil imidlertid bli fjernet hvis filen åpnes i en nyere versjon av Excel. Finn ut mer: https://go.microsoft.com/fwlink/?linkid=870924
Kommentar:
    kWt er ikke tilgengelig data, kun kjørte km </t>
      </text>
    </comment>
    <comment ref="CC40" authorId="18" shapeId="0" xr:uid="{F57035DB-DA24-4017-9563-3BEC93135764}">
      <text>
        <t>[Kommentartråd]
Din versjon av Excel lar deg lese denne kommentartråden. Eventuelle endringer i den vil imidlertid bli fjernet hvis filen åpnes i en nyere versjon av Excel. Finn ut mer: https://go.microsoft.com/fwlink/?linkid=870924
Kommentar:
    Bensin. L er ikke tilgjengelig, kun kjørte km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tc={CD3B94A2-3857-4A8B-9D48-2F10D27A1BFC}</author>
    <author>tc={22FCC0F6-FC65-4659-B341-15C12C25C685}</author>
    <author>tc={4A2D9AD3-EE52-446F-B7F1-A6455E6E74B8}</author>
  </authors>
  <commentList>
    <comment ref="N4" authorId="0" shapeId="0" xr:uid="{CD3B94A2-3857-4A8B-9D48-2F10D27A1BFC}">
      <text>
        <t>[Kommentartråd]
Din versjon av Excel lar deg lese denne kommentartråden. Eventuelle endringer i den vil imidlertid bli fjernet hvis filen åpnes i en nyere versjon av Excel. Finn ut mer: https://go.microsoft.com/fwlink/?linkid=870924
Kommentar:
    Fra 2024 ble to av kombibåtstrekningene omdefinert til ferjesamband</t>
      </text>
    </comment>
    <comment ref="AC8" authorId="1" shapeId="0" xr:uid="{22FCC0F6-FC65-4659-B341-15C12C25C685}">
      <text>
        <t>[Kommentartråd]
Din versjon av Excel lar deg lese denne kommentartråden. Eventuelle endringer i den vil imidlertid bli fjernet hvis filen åpnes i en nyere versjon av Excel. Finn ut mer: https://go.microsoft.com/fwlink/?linkid=870924
Kommentar:
    =setekm</t>
      </text>
    </comment>
    <comment ref="N14" authorId="2" shapeId="0" xr:uid="{4A2D9AD3-EE52-446F-B7F1-A6455E6E74B8}">
      <text>
        <t>[Kommentartråd]
Din versjon av Excel lar deg lese denne kommentartråden. Eventuelle endringer i den vil imidlertid bli fjernet hvis filen åpnes i en nyere versjon av Excel. Finn ut mer: https://go.microsoft.com/fwlink/?linkid=870924
Kommentar:
    Ukjent for fylkeskommunen, da dette er nettokontrakter</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tc={905D2B94-5C5F-4FC9-A710-E9C175AA4C14}</author>
    <author>tc={8B8B5009-9F77-4882-B1BA-321F7F5A7025}</author>
    <author>tc={41A7E695-B9CE-4DBE-B0F3-03BD2D454129}</author>
    <author>tc={F731CB59-910E-4784-BA95-6EDF561A693A}</author>
    <author>tc={2313F84C-DFF0-4370-8107-02C1E210A1A8}</author>
  </authors>
  <commentList>
    <comment ref="AW7" authorId="0" shapeId="0" xr:uid="{905D2B94-5C5F-4FC9-A710-E9C175AA4C14}">
      <text>
        <t>[Kommentartråd]
Din versjon av Excel lar deg lese denne kommentartråden. Eventuelle endringer i den vil imidlertid bli fjernet hvis filen åpnes i en nyere versjon av Excel. Finn ut mer: https://go.microsoft.com/fwlink/?linkid=870924
Kommentar:
    =Antall passasjerer</t>
      </text>
    </comment>
    <comment ref="BC13" authorId="1" shapeId="0" xr:uid="{8B8B5009-9F77-4882-B1BA-321F7F5A7025}">
      <text>
        <t>[Kommentartråd]
Din versjon av Excel lar deg lese denne kommentartråden. Eventuelle endringer i den vil imidlertid bli fjernet hvis filen åpnes i en nyere versjon av Excel. Finn ut mer: https://go.microsoft.com/fwlink/?linkid=870924
Kommentar:
    Utseilt distanse i Kostra</t>
      </text>
    </comment>
    <comment ref="H14" authorId="2" shapeId="0" xr:uid="{41A7E695-B9CE-4DBE-B0F3-03BD2D454129}">
      <text>
        <t>[Kommentartråd]
Din versjon av Excel lar deg lese denne kommentartråden. Eventuelle endringer i den vil imidlertid bli fjernet hvis filen åpnes i en nyere versjon av Excel. Finn ut mer: https://go.microsoft.com/fwlink/?linkid=870924
Kommentar:
    Dette er ikke inkludert de to sambandene som ble omdefinert fra båt til ferje fra 2024. Av kontraktsmessige årsaker kan dette beregnes først fra 2026.</t>
      </text>
    </comment>
    <comment ref="BC14" authorId="3" shapeId="0" xr:uid="{F731CB59-910E-4784-BA95-6EDF561A693A}">
      <text>
        <t>[Kommentartråd]
Din versjon av Excel lar deg lese denne kommentartråden. Eventuelle endringer i den vil imidlertid bli fjernet hvis filen åpnes i en nyere versjon av Excel. Finn ut mer: https://go.microsoft.com/fwlink/?linkid=870924
Kommentar:
    Nettokontrakt, fylket gir et lite tilskudd pr år</t>
      </text>
    </comment>
    <comment ref="S16" authorId="4" shapeId="0" xr:uid="{2313F84C-DFF0-4370-8107-02C1E210A1A8}">
      <text>
        <t>[Kommentartråd]
Din versjon av Excel lar deg lese denne kommentartråden. Eventuelle endringer i den vil imidlertid bli fjernet hvis filen åpnes i en nyere versjon av Excel. Finn ut mer: https://go.microsoft.com/fwlink/?linkid=870924
Kommentar:
    Gratisferge-kompensasjon gis til fylket på overordnet nivå. Det når Skyss via utvidet ramme for fylkeskommunale bevilgninger</t>
      </text>
    </comment>
  </commentList>
</comments>
</file>

<file path=xl/sharedStrings.xml><?xml version="1.0" encoding="utf-8"?>
<sst xmlns="http://schemas.openxmlformats.org/spreadsheetml/2006/main" count="741" uniqueCount="229">
  <si>
    <t>#</t>
  </si>
  <si>
    <t>Variabel</t>
  </si>
  <si>
    <t>Ruter</t>
  </si>
  <si>
    <t>Finnmark</t>
  </si>
  <si>
    <t>Innlandet</t>
  </si>
  <si>
    <t>Vestfold og Telemark</t>
  </si>
  <si>
    <t>Brakar</t>
  </si>
  <si>
    <t>Agder</t>
  </si>
  <si>
    <t>Troms</t>
  </si>
  <si>
    <t>Rutekilometer</t>
  </si>
  <si>
    <t>Setekilometer</t>
  </si>
  <si>
    <t>Påstigninger (reiser/delreiser)</t>
  </si>
  <si>
    <t>Passasjerkilometer</t>
  </si>
  <si>
    <t>Plasskilometer</t>
  </si>
  <si>
    <t>Vognkilometer</t>
  </si>
  <si>
    <t>Fylkeskommunale bevilgninger</t>
  </si>
  <si>
    <t>Statlige bevilgninger</t>
  </si>
  <si>
    <t>Andre bevilgninger</t>
  </si>
  <si>
    <t>Billettinntekter</t>
  </si>
  <si>
    <t>Driftskostnader</t>
  </si>
  <si>
    <t>Andre kostnader</t>
  </si>
  <si>
    <t>Totale kostnader</t>
  </si>
  <si>
    <t>Materiell</t>
  </si>
  <si>
    <t>CO2 utslipp</t>
  </si>
  <si>
    <t>Påstigende lukket skoleskyss</t>
  </si>
  <si>
    <t>Inntekter skoleskyss</t>
  </si>
  <si>
    <t>Skyssberettigede VGS</t>
  </si>
  <si>
    <t>Ukjent</t>
  </si>
  <si>
    <t>Total bevilgninger</t>
  </si>
  <si>
    <t>Ingen data</t>
  </si>
  <si>
    <t>-</t>
  </si>
  <si>
    <t>Ruter_Tbane</t>
  </si>
  <si>
    <t>Ruter_trikk</t>
  </si>
  <si>
    <t>Skyss_Bybane</t>
  </si>
  <si>
    <t>ATB_trikk</t>
  </si>
  <si>
    <t>Belegg (%) [passasjerKM/seteKM]</t>
  </si>
  <si>
    <t xml:space="preserve">Utlededetall </t>
  </si>
  <si>
    <t>Faktisk tilskudd (millioner kr)</t>
  </si>
  <si>
    <t xml:space="preserve">Tilskudd (%) </t>
  </si>
  <si>
    <t>Driftskostnader / innbygger (kr)</t>
  </si>
  <si>
    <t>Driftskostnader / setekm (kr)</t>
  </si>
  <si>
    <t>Totale kostnader / påstigninger  (kr)</t>
  </si>
  <si>
    <t>Billettinntekter / påstigninger (kr)</t>
  </si>
  <si>
    <t>Tilskudd / påstigninger (kr)</t>
  </si>
  <si>
    <t>Definisjon</t>
  </si>
  <si>
    <t>Netto tilskudd (millioner kr)</t>
  </si>
  <si>
    <t xml:space="preserve">Andel netto tilskudd (%) </t>
  </si>
  <si>
    <t>Andel billettinntekter (%)</t>
  </si>
  <si>
    <t>Billettinntekter / setekm (kr)</t>
  </si>
  <si>
    <t>Tonn CO2 per buss per år</t>
  </si>
  <si>
    <t>Tonn CO2 per 100 000 påstigning</t>
  </si>
  <si>
    <t>Tonn CO2 per  per 100 000 passasjerkm</t>
  </si>
  <si>
    <t>Tonn CO2  per 100 000 passasjerkm</t>
  </si>
  <si>
    <t>Tilskudd per innbygger</t>
  </si>
  <si>
    <t>Tilskudd delt på kollektivtraffikkens virkeområde</t>
  </si>
  <si>
    <t>Befolkning</t>
  </si>
  <si>
    <t>Areal (km2)</t>
  </si>
  <si>
    <t>Innbygger per km2</t>
  </si>
  <si>
    <t>Kontekstvariabler</t>
  </si>
  <si>
    <t>FRAM
Møre &amp;Romsdal</t>
  </si>
  <si>
    <t>Total kostnader per innbygger</t>
  </si>
  <si>
    <t>Transportarbeid per innbygger</t>
  </si>
  <si>
    <t>Passasjerkilometer per innbygger per år</t>
  </si>
  <si>
    <t>Tilskud per innbygger (kr)</t>
  </si>
  <si>
    <t>Faktisk tilskudd perinnbygger (kr)</t>
  </si>
  <si>
    <t>Fylkeskommunal bevilgninger</t>
  </si>
  <si>
    <t>Statlig bevilgninger</t>
  </si>
  <si>
    <t>Totale bevilgninger</t>
  </si>
  <si>
    <t>Nr.</t>
  </si>
  <si>
    <t>Variabler</t>
  </si>
  <si>
    <t>Påstigninger</t>
  </si>
  <si>
    <t>CO2</t>
  </si>
  <si>
    <t xml:space="preserve">Har ikke lett tilgjengelig tall på stå- og sitteplasser på ferje.  </t>
  </si>
  <si>
    <t xml:space="preserve">Agder </t>
  </si>
  <si>
    <t>Møre og Romsdal</t>
  </si>
  <si>
    <t>kg CO2 per rutekilometer</t>
  </si>
  <si>
    <t>Variable</t>
  </si>
  <si>
    <t>Antall kjøretøy (eks. MC)</t>
  </si>
  <si>
    <t>Antall PBE</t>
  </si>
  <si>
    <t>Antall passasjerer (inkl. fører)</t>
  </si>
  <si>
    <t>Material, Diesel</t>
  </si>
  <si>
    <t>Material, Batteri</t>
  </si>
  <si>
    <t>Materiell, diesel</t>
  </si>
  <si>
    <t>Materiell, batteri</t>
  </si>
  <si>
    <t>Materiell, total</t>
  </si>
  <si>
    <t>Materiell, Euro klasse V</t>
  </si>
  <si>
    <t>Materiell, Euro klasse VI</t>
  </si>
  <si>
    <t>Materiell, Hydrogen</t>
  </si>
  <si>
    <t>Materiell, Batterielektrisk</t>
  </si>
  <si>
    <t>Materiell, Gass</t>
  </si>
  <si>
    <t>Materiell, Biodiesel</t>
  </si>
  <si>
    <t>Materiell, HVO</t>
  </si>
  <si>
    <t>Materiell, Diesel</t>
  </si>
  <si>
    <t>Skyss_Bybane  (oppdatert med nye tall)</t>
  </si>
  <si>
    <t>Nordland</t>
  </si>
  <si>
    <t>Material, Total</t>
  </si>
  <si>
    <t xml:space="preserve">Euro IV </t>
  </si>
  <si>
    <t>Alt for store tall</t>
  </si>
  <si>
    <t>Ikke oppgitt</t>
  </si>
  <si>
    <t>Euro III</t>
  </si>
  <si>
    <t xml:space="preserve">Euro VI hybrid </t>
  </si>
  <si>
    <t>Skoleskyss - lukketkjøp</t>
  </si>
  <si>
    <t>Faktisk tilskudd (kr)</t>
  </si>
  <si>
    <t xml:space="preserve">Inntekter skoleskyss / antall skyssberettigede i grunnskole (KOSTRA). </t>
  </si>
  <si>
    <t>Lukket skoleskyss (kr) / antall skyssberettigde – lukket skoleskyss (KOSTRA) (sum grunnskole og vgs).</t>
  </si>
  <si>
    <t>Antall skyssberettigede</t>
  </si>
  <si>
    <t>Kg CO2 per påstigning</t>
  </si>
  <si>
    <t>Billettinntekter / pass.km (kr)</t>
  </si>
  <si>
    <t>Tallene som er sammenstilt i dette arket er eksklusiv ferje dersom ikke annet er nevnt.</t>
  </si>
  <si>
    <t>Kategorier</t>
  </si>
  <si>
    <t xml:space="preserve">Antall rutekm per kalenderår (eksklusiv tomkjøring til og fra depot / garasjer). </t>
  </si>
  <si>
    <t>Antall setekm per kalenderår (eksklusiv tomkjøring til og fra depot/garasjer). Seter inkluderer alle fast monterte seter (inkludert nedfellbare seter). Setekm kan beregnes som følger: rutekm x antall seter</t>
  </si>
  <si>
    <t>Alle påstigninger som foretas i løpet av en reise, dvs. en reise som foregår med buss og båt. Bytte mellom to busser gir to påstigninger.</t>
  </si>
  <si>
    <t xml:space="preserve">Sum sitteplasser og ståplasser multiplisert med kjørelengde i rute (dvs. ekskl. posisjonskjøring og annen tomkjøring). Om ikke annen info er  tilgjengelig beregnes ståplasser som 3 personer per kvm. </t>
  </si>
  <si>
    <t>Kjørelengde i alt (dvs. inkl. posisjonskjøring og annen tomkjøring). Hvis ukjent kan vognkilometer beregnes som rutekilometer + 15%, skriv i så fall inn merknad.</t>
  </si>
  <si>
    <t>Fylkeskommunale bevilgninger til drift (ikke over investeringsbudsjettet).</t>
  </si>
  <si>
    <t xml:space="preserve">Statligbevilgninger til drift (ikke over investeringsbudsjettet), som statlige midler fra belønningsmidler (eks. byvekstavtaler osv.)  </t>
  </si>
  <si>
    <t>Andrebevilgninger til drift (ikke over investeringsbudsjettet), som bompenger som brukes til drift av kollektivtransport</t>
  </si>
  <si>
    <t>Alle ordinære kostnader knyttet til drift av kollektivtransporten, dvs. sum av administrasjonskostnader, driftsavhengige kostnader og kapitalkostnader. Utgår fra og med rapporteringsåret 2015.</t>
  </si>
  <si>
    <t xml:space="preserve">Antall påstigninger, slik at én elev én dag, normalt er to påstigninger. </t>
  </si>
  <si>
    <t>Skoleskyss</t>
  </si>
  <si>
    <t>Inntekter for skoleskyss, åpen og lukket (kjøp fra kommunene). Inntekter fra lukket skoleskyss skal inkludere inntekter fra all kommunalt kjøp av lukket skoleskyss, uavhengig av om det er fylkeskommunen eller kommunen som har skoleskyssansvaret for eleven.</t>
  </si>
  <si>
    <t>Skoleskyss - lukket, kjøp</t>
  </si>
  <si>
    <t xml:space="preserve"> 
Kroner brukt på lukket skoleskyss, per kalenderår. </t>
  </si>
  <si>
    <t xml:space="preserve">Antall skyssberettigede på videregående skole (VGS). </t>
  </si>
  <si>
    <r>
      <t>Totale kostnader per driftsart, evt. tilsvarende kostnader for drift i egen regi (alle beløp eks. mva.). Totale kostnader for administrasjonsselskapet skal være lik driftskostnader + andre kostnader. I løpende/nominelle kroner. 
[</t>
    </r>
    <r>
      <rPr>
        <i/>
        <sz val="11"/>
        <color theme="1"/>
        <rFont val="Calibri"/>
        <family val="2"/>
      </rPr>
      <t>N.B.: Driftskostnader inkluderer personalkostnader (inkludert trygdeavgifter og pensjoner), energiutgifter, kjøp av eksterne varer og tjenester (inkludert underleverandører), utgifter til vedlikehold av kjøretøy, diverse kostnader (f.eks. leie), finanskostnader, avskrivningsutgifter, skatter og avgifter. Ta ikke med spesielle vedlikeholds- eller investeringer for infrastruktur og kjøretøy, men snarere uttrykk for kostnadene knyttet til opprettelsen av offentlig transporttilbud.</t>
    </r>
    <r>
      <rPr>
        <sz val="11"/>
        <color theme="1"/>
        <rFont val="Calibri"/>
        <family val="2"/>
      </rPr>
      <t>]</t>
    </r>
  </si>
  <si>
    <t xml:space="preserve">Variabler og variabelbeskrivelser </t>
  </si>
  <si>
    <t>Produksjon, Ferge</t>
  </si>
  <si>
    <t xml:space="preserve">Faktisk tilskudd, (%) </t>
  </si>
  <si>
    <t xml:space="preserve">Tilskud som andel av total kostnad i prosent: (bevilget tilskudd + Belønningsmidler og/eller storbymidler) / (Totale kostnader = Driftskostnader + andre kostnader) </t>
  </si>
  <si>
    <t>Materiell, buss</t>
  </si>
  <si>
    <t>Materiell, båt</t>
  </si>
  <si>
    <t>Materiell, ferge</t>
  </si>
  <si>
    <t>Antall kjøretøy eks. MC</t>
  </si>
  <si>
    <t>Antall passasjerer inkl. fører</t>
  </si>
  <si>
    <t>Inntekt per kyssberetigede</t>
  </si>
  <si>
    <t>Lukketskolesys per skysberetigede</t>
  </si>
  <si>
    <t xml:space="preserve">Andel lukket skoleskyss: «Antall påstigende (lukket skoleskyss, i grunnskole og vgs)» / «antall skyssberettigde skoleskyss (totalt)». </t>
  </si>
  <si>
    <t>Andel lukket skoleskyss</t>
  </si>
  <si>
    <t>Driftskostnader per innbygger (kr): (driftskostnader / innbygger Kroner)</t>
  </si>
  <si>
    <t>Driftskostnader per setekilometer (kr): (driftskostnader / setekm Kroner)</t>
  </si>
  <si>
    <t>Billettinntekter per setekilometer (kr): (billettinntekter / setekilometer Kroner)</t>
  </si>
  <si>
    <t>Total kostnader delt på antall påstigninger (kr): (totale kostnader / påstigninger Kroner)</t>
  </si>
  <si>
    <t>Billettinntekter per påstigning  (kr): (billettinntekter / påstigninger)</t>
  </si>
  <si>
    <t>Tilskud per påstigning  (kr): (tilskudd / påstigninger Kroner)</t>
  </si>
  <si>
    <t>Tilskudd / påstigninger</t>
  </si>
  <si>
    <t>Billettinntekter / påstigninger</t>
  </si>
  <si>
    <t>Totale kostnader / påstigninger</t>
  </si>
  <si>
    <t>Billettinntekter / setekilometer</t>
  </si>
  <si>
    <t>Driftskostnader / setekm</t>
  </si>
  <si>
    <t>Driftskostnader / innbygger</t>
  </si>
  <si>
    <t>Finansiering av kollektivtransport som ikke er dekket med billettintekter (kr): (totale kostnader - billettinntekter)</t>
  </si>
  <si>
    <t xml:space="preserve">Tilskudd, (%) </t>
  </si>
  <si>
    <t>Faktisk tilskudd</t>
  </si>
  <si>
    <t>Produksjon</t>
  </si>
  <si>
    <t>Økonomi</t>
  </si>
  <si>
    <t>Miljø</t>
  </si>
  <si>
    <t>Buss</t>
  </si>
  <si>
    <t>Ferje</t>
  </si>
  <si>
    <t>3 a)</t>
  </si>
  <si>
    <t>3 b)</t>
  </si>
  <si>
    <t>3 c)</t>
  </si>
  <si>
    <t xml:space="preserve">Nr. </t>
  </si>
  <si>
    <t>Materiell (antall)</t>
  </si>
  <si>
    <t>Euro klasse V</t>
  </si>
  <si>
    <t>Euro klasse VI</t>
  </si>
  <si>
    <t>Hydrogen</t>
  </si>
  <si>
    <t>Batterielektrisk</t>
  </si>
  <si>
    <t>Gass</t>
  </si>
  <si>
    <t>Biodiesel</t>
  </si>
  <si>
    <t>ev.andre (legg til linje)</t>
  </si>
  <si>
    <t>Diesel</t>
  </si>
  <si>
    <t>Batteri</t>
  </si>
  <si>
    <t>Batteri (Swap)</t>
  </si>
  <si>
    <t>CO2 utslipp (tonn)</t>
  </si>
  <si>
    <t>Båt</t>
  </si>
  <si>
    <t>20XX</t>
  </si>
  <si>
    <t>Ferge</t>
  </si>
  <si>
    <t>Båt / hurtigbåt</t>
  </si>
  <si>
    <t>T-bane</t>
  </si>
  <si>
    <t>Trikk</t>
  </si>
  <si>
    <t>Bybane</t>
  </si>
  <si>
    <t>ØKONOMI, Kinnegåede bytransport</t>
  </si>
  <si>
    <t>ØKONOMI, Ferge</t>
  </si>
  <si>
    <t>MILJØDATA</t>
  </si>
  <si>
    <t>ØKONOMI, buss</t>
  </si>
  <si>
    <t>PRODUKSJON, buss</t>
  </si>
  <si>
    <t>ØKONOMI, Båt / hurtigbåt/passjerbåt</t>
  </si>
  <si>
    <t>PRODUKSJON, Ferje</t>
  </si>
  <si>
    <t>PRODUKSJON, Hurtibåt /passasjerbåt</t>
  </si>
  <si>
    <t xml:space="preserve">Påstigende lukket skoleskyss </t>
  </si>
  <si>
    <t>Skyssberettigede - VGS</t>
  </si>
  <si>
    <t>SKOLESYSS</t>
  </si>
  <si>
    <t>PRODUKSJON, Kinnegåede bytransport</t>
  </si>
  <si>
    <t>Østfold</t>
  </si>
  <si>
    <t>Buskerud</t>
  </si>
  <si>
    <t>Rogaland</t>
  </si>
  <si>
    <t>Vestland</t>
  </si>
  <si>
    <t>Trøndelag</t>
  </si>
  <si>
    <t>Oslo og Akershus</t>
  </si>
  <si>
    <t xml:space="preserve">Faktisk tilskud som andel av total kostnader: (totale kostnader - billettinntekter) / Totale kostnader: (Driftskostnader + andre kostnader) </t>
  </si>
  <si>
    <t>Antall buss fordelt på drivlinje, og for buss, Euroklasse</t>
  </si>
  <si>
    <t>Antall båt fordelt på drivlinje</t>
  </si>
  <si>
    <t>Antall ferge fordelt på drivlinje</t>
  </si>
  <si>
    <t>CO2 utslip per transportmiddel (Buss, båt og ferge)Definisjon: Fylkeskommunenes egen beregning av utslipp i C02 – ekvivalenter, for kollektivtransporten</t>
  </si>
  <si>
    <t>Antall personbilenheter</t>
  </si>
  <si>
    <t>Utledet variabel</t>
  </si>
  <si>
    <t>Antall påstigninger ganger reiselengde. Denne rapporteres per transportmåte/transportmiddel (buss/båt/trikk/t-bane/tog). 
Gjerne beskriv kort hvordan passasjerkilometer er beregnet som merknad.</t>
  </si>
  <si>
    <t xml:space="preserve">Totale billettinntekter (eks. mva) for alle billettslag som er gyldig i det geografiske området i kalenderåret som administrasjons-selskapet (eller tilsvarende) har ansvar for. Billettinntekter for reiser med egne billettslag på tog skal også inkluderes. Kommunalt kjøp av skoleskyss skal også inkluderes i billettinntekter. Sykler og barnevog inkluderes. Øvrig gods inkluderes ikke. </t>
  </si>
  <si>
    <t>Alle andre kostnader utover det som betales operatørene (eks. mva). Dersom man betaler togoperatøren en kompensasjon for takstdifferensen mellom egne og togoperatørens takster, skal disse legges til her. Løpende/nominelle kroner.</t>
  </si>
  <si>
    <t>ikke data</t>
  </si>
  <si>
    <t xml:space="preserve"> -</t>
  </si>
  <si>
    <t>Vestfold</t>
  </si>
  <si>
    <t>Telemark</t>
  </si>
  <si>
    <t>Møre &amp;Romsdal</t>
  </si>
  <si>
    <t>Vestfold+Telemark</t>
  </si>
  <si>
    <t>Kolumbus
Rogaland</t>
  </si>
  <si>
    <t>Drivstoffkategorisering</t>
  </si>
  <si>
    <t>Naturgass</t>
  </si>
  <si>
    <t>Biodiesel (RME)</t>
  </si>
  <si>
    <t>Biodiesel (HVO)</t>
  </si>
  <si>
    <t>Biodiesel (3. generasjon)</t>
  </si>
  <si>
    <t>Biogass</t>
  </si>
  <si>
    <t>Elektrisitet</t>
  </si>
  <si>
    <t>Annet</t>
  </si>
  <si>
    <t xml:space="preserve">Rogaland (Kolumbus) </t>
  </si>
  <si>
    <t>Fartøykilometer</t>
  </si>
  <si>
    <t>Rogaland (Kolumbus)</t>
  </si>
  <si>
    <t>Altfor store tall er rapportert for materiell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</si>
</sst>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_ * #,##0_ ;_ * \-#,##0_ ;_ * &quot;-&quot;??_ ;_ @_ "/>
    <numFmt numFmtId="166" formatCode="0.0"/>
    <numFmt numFmtId="167" formatCode="#,##0.0"/>
    <numFmt numFmtId="168" formatCode="0.0000000"/>
  </numFmts>
  <fonts count="37" x14ac:knownFonts="1">
    <font>
      <sz val="11"/>
      <color theme="1"/>
      <name val="Garamond"/>
      <family val="2"/>
      <scheme val="minor"/>
    </font>
    <font>
      <sz val="11"/>
      <color theme="1"/>
      <name val="Garamond"/>
      <family val="2"/>
      <scheme val="minor"/>
    </font>
    <font>
      <b/>
      <sz val="9"/>
      <color theme="1"/>
      <name val="Garamond"/>
      <family val="2"/>
      <scheme val="minor"/>
    </font>
    <font>
      <sz val="9"/>
      <color theme="1"/>
      <name val="Garamond"/>
      <family val="2"/>
      <scheme val="minor"/>
    </font>
    <font>
      <b/>
      <sz val="9"/>
      <color theme="1"/>
      <name val="Calibri"/>
      <family val="2"/>
    </font>
    <font>
      <sz val="9"/>
      <color theme="1"/>
      <name val="Calibri"/>
      <family val="2"/>
    </font>
    <font>
      <sz val="9"/>
      <color rgb="FF000000"/>
      <name val="Calibri"/>
      <family val="2"/>
    </font>
    <font>
      <sz val="9"/>
      <name val="Calibri"/>
      <family val="2"/>
    </font>
    <font>
      <sz val="10"/>
      <color theme="1"/>
      <name val="Calibri"/>
      <family val="2"/>
    </font>
    <font>
      <sz val="9"/>
      <color rgb="FFFF0000"/>
      <name val="Calibri"/>
      <family val="2"/>
    </font>
    <font>
      <u/>
      <sz val="11"/>
      <color theme="10"/>
      <name val="Garamond"/>
      <family val="2"/>
      <scheme val="minor"/>
    </font>
    <font>
      <sz val="11"/>
      <color theme="1"/>
      <name val="Calibri"/>
      <family val="2"/>
    </font>
    <font>
      <b/>
      <sz val="11"/>
      <color theme="1"/>
      <name val="Calibri"/>
      <family val="2"/>
    </font>
    <font>
      <i/>
      <sz val="9"/>
      <color theme="1"/>
      <name val="Calibri"/>
      <family val="2"/>
    </font>
    <font>
      <sz val="9"/>
      <color indexed="81"/>
      <name val="Tahoma"/>
      <family val="2"/>
    </font>
    <font>
      <b/>
      <sz val="9"/>
      <name val="Calibri"/>
      <family val="2"/>
    </font>
    <font>
      <b/>
      <sz val="9"/>
      <color rgb="FF000000"/>
      <name val="Calibri"/>
      <family val="2"/>
    </font>
    <font>
      <sz val="11"/>
      <color rgb="FF006100"/>
      <name val="Garamond"/>
      <family val="2"/>
      <scheme val="minor"/>
    </font>
    <font>
      <b/>
      <sz val="10"/>
      <color theme="1"/>
      <name val="Calibri"/>
      <family val="2"/>
    </font>
    <font>
      <sz val="11"/>
      <color theme="1"/>
      <name val="Aptos"/>
      <family val="2"/>
    </font>
    <font>
      <sz val="11"/>
      <color rgb="FF000000"/>
      <name val="Calibri"/>
      <family val="2"/>
    </font>
    <font>
      <i/>
      <sz val="11"/>
      <color theme="1"/>
      <name val="Calibri"/>
      <family val="2"/>
    </font>
    <font>
      <sz val="11"/>
      <color rgb="FF162327"/>
      <name val="Calibri"/>
      <family val="2"/>
    </font>
    <font>
      <sz val="11"/>
      <name val="Calibri"/>
      <family val="2"/>
    </font>
    <font>
      <b/>
      <sz val="16"/>
      <color theme="1"/>
      <name val="Calibri"/>
      <family val="2"/>
    </font>
    <font>
      <b/>
      <i/>
      <sz val="9"/>
      <color rgb="FF000000"/>
      <name val="Calibri"/>
      <family val="2"/>
    </font>
    <font>
      <b/>
      <sz val="14"/>
      <color theme="1"/>
      <name val="Calibri"/>
      <family val="2"/>
    </font>
    <font>
      <sz val="9"/>
      <color rgb="FF006100"/>
      <name val="Calibri"/>
      <family val="2"/>
    </font>
    <font>
      <sz val="9"/>
      <name val="Garamond"/>
      <family val="2"/>
      <scheme val="minor"/>
    </font>
    <font>
      <sz val="9"/>
      <color rgb="FF006100"/>
      <name val="Garamond"/>
      <family val="2"/>
      <scheme val="minor"/>
    </font>
    <font>
      <sz val="9"/>
      <color rgb="FFFF0000"/>
      <name val="Garamond"/>
      <family val="2"/>
      <scheme val="minor"/>
    </font>
    <font>
      <b/>
      <sz val="9"/>
      <color rgb="FFFF0000"/>
      <name val="Calibri"/>
      <family val="2"/>
    </font>
    <font>
      <b/>
      <sz val="9"/>
      <name val="Garamond"/>
      <family val="2"/>
      <scheme val="minor"/>
    </font>
    <font>
      <b/>
      <sz val="9"/>
      <name val="Garamond"/>
      <family val="1"/>
      <scheme val="minor"/>
    </font>
    <font>
      <sz val="9"/>
      <color theme="1"/>
      <name val="Garamond"/>
      <family val="1"/>
      <scheme val="minor"/>
    </font>
    <font>
      <b/>
      <sz val="9"/>
      <color theme="1"/>
      <name val="Garamond"/>
      <family val="1"/>
      <scheme val="minor"/>
    </font>
    <font>
      <sz val="9"/>
      <color theme="0" tint="-0.34998626667073579"/>
      <name val="Garamond"/>
      <family val="2"/>
      <scheme val="minor"/>
    </font>
  </fonts>
  <fills count="17">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theme="4" tint="0.79998168889431442"/>
        <bgColor indexed="65"/>
      </patternFill>
    </fill>
    <fill>
      <patternFill patternType="solid">
        <fgColor theme="8" tint="0.59999389629810485"/>
        <bgColor indexed="65"/>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rgb="FFAFEC34"/>
        <bgColor indexed="64"/>
      </patternFill>
    </fill>
    <fill>
      <patternFill patternType="solid">
        <fgColor rgb="FFE5A9E1"/>
        <bgColor indexed="64"/>
      </patternFill>
    </fill>
    <fill>
      <patternFill patternType="solid">
        <fgColor theme="8" tint="0.59999389629810485"/>
        <bgColor indexed="64"/>
      </patternFill>
    </fill>
    <fill>
      <patternFill patternType="solid">
        <fgColor rgb="FFFF0000"/>
        <bgColor indexed="64"/>
      </patternFill>
    </fill>
    <fill>
      <patternFill patternType="solid">
        <fgColor rgb="FFC6EFCE"/>
        <bgColor indexed="64"/>
      </patternFill>
    </fill>
    <fill>
      <patternFill patternType="solid">
        <fgColor theme="2" tint="-0.249977111117893"/>
        <bgColor indexed="64"/>
      </patternFill>
    </fill>
    <fill>
      <patternFill patternType="solid">
        <fgColor rgb="FFC4E59F"/>
        <bgColor indexed="64"/>
      </patternFill>
    </fill>
  </fills>
  <borders count="56">
    <border>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style="double">
        <color indexed="64"/>
      </bottom>
      <diagonal/>
    </border>
    <border>
      <left/>
      <right/>
      <top style="double">
        <color indexed="64"/>
      </top>
      <bottom/>
      <diagonal/>
    </border>
  </borders>
  <cellStyleXfs count="7">
    <xf numFmtId="0" fontId="0" fillId="0" borderId="0"/>
    <xf numFmtId="43" fontId="1" fillId="0" borderId="0" applyFon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xf numFmtId="0" fontId="17"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cellStyleXfs>
  <cellXfs count="448">
    <xf numFmtId="0" fontId="0" fillId="0" borderId="0" xfId="0"/>
    <xf numFmtId="0" fontId="3" fillId="0" borderId="0" xfId="0" applyFont="1"/>
    <xf numFmtId="0" fontId="5" fillId="0" borderId="0" xfId="0" applyFont="1"/>
    <xf numFmtId="0" fontId="5" fillId="0" borderId="4" xfId="0" applyFont="1" applyBorder="1" applyAlignment="1">
      <alignment horizontal="left" wrapText="1"/>
    </xf>
    <xf numFmtId="3" fontId="5" fillId="0" borderId="0" xfId="0" applyNumberFormat="1" applyFont="1"/>
    <xf numFmtId="0" fontId="6" fillId="0" borderId="4" xfId="0" applyFont="1" applyBorder="1" applyAlignment="1">
      <alignment horizontal="left" vertical="center" wrapText="1"/>
    </xf>
    <xf numFmtId="0" fontId="6" fillId="0" borderId="4" xfId="0" applyFont="1" applyBorder="1" applyAlignment="1">
      <alignment horizontal="left" wrapText="1"/>
    </xf>
    <xf numFmtId="0" fontId="5" fillId="0" borderId="4" xfId="0" applyFont="1" applyBorder="1" applyAlignment="1">
      <alignment horizontal="left"/>
    </xf>
    <xf numFmtId="0" fontId="5" fillId="0" borderId="4" xfId="0" applyFont="1" applyBorder="1" applyAlignment="1">
      <alignment horizontal="left" vertical="center"/>
    </xf>
    <xf numFmtId="0" fontId="6" fillId="0" borderId="4" xfId="0" applyFont="1" applyBorder="1" applyAlignment="1">
      <alignment horizontal="left" vertical="center"/>
    </xf>
    <xf numFmtId="0" fontId="6" fillId="0" borderId="4" xfId="0" applyFont="1" applyBorder="1" applyAlignment="1">
      <alignment horizontal="left"/>
    </xf>
    <xf numFmtId="3" fontId="5" fillId="0" borderId="0" xfId="1" applyNumberFormat="1" applyFont="1" applyBorder="1"/>
    <xf numFmtId="3" fontId="5" fillId="0" borderId="0" xfId="1" applyNumberFormat="1" applyFont="1" applyFill="1" applyBorder="1"/>
    <xf numFmtId="3" fontId="5" fillId="0" borderId="4" xfId="0" applyNumberFormat="1" applyFont="1" applyBorder="1" applyAlignment="1">
      <alignment horizontal="left"/>
    </xf>
    <xf numFmtId="3" fontId="6" fillId="0" borderId="4" xfId="0" applyNumberFormat="1" applyFont="1" applyBorder="1" applyAlignment="1">
      <alignment horizontal="left" vertical="center"/>
    </xf>
    <xf numFmtId="3" fontId="6" fillId="0" borderId="4" xfId="0" applyNumberFormat="1" applyFont="1" applyBorder="1" applyAlignment="1">
      <alignment horizontal="left"/>
    </xf>
    <xf numFmtId="164" fontId="5" fillId="0" borderId="0" xfId="1" applyNumberFormat="1" applyFont="1" applyBorder="1"/>
    <xf numFmtId="3" fontId="9" fillId="0" borderId="0" xfId="0" applyNumberFormat="1" applyFont="1" applyAlignment="1">
      <alignment horizontal="right"/>
    </xf>
    <xf numFmtId="3" fontId="5" fillId="0" borderId="11" xfId="0" applyNumberFormat="1" applyFont="1" applyBorder="1"/>
    <xf numFmtId="3" fontId="5" fillId="0" borderId="0" xfId="0" applyNumberFormat="1" applyFont="1" applyAlignment="1">
      <alignment horizontal="left"/>
    </xf>
    <xf numFmtId="0" fontId="5" fillId="0" borderId="0" xfId="0" applyFont="1" applyAlignment="1">
      <alignment horizontal="left"/>
    </xf>
    <xf numFmtId="0" fontId="4" fillId="0" borderId="0" xfId="0" applyFont="1" applyAlignment="1">
      <alignment horizontal="left"/>
    </xf>
    <xf numFmtId="166" fontId="3" fillId="0" borderId="0" xfId="0" applyNumberFormat="1" applyFont="1"/>
    <xf numFmtId="3" fontId="4" fillId="0" borderId="0" xfId="0" applyNumberFormat="1" applyFont="1" applyAlignment="1">
      <alignment horizontal="left"/>
    </xf>
    <xf numFmtId="0" fontId="12" fillId="0" borderId="0" xfId="0" applyFont="1"/>
    <xf numFmtId="0" fontId="11" fillId="0" borderId="0" xfId="0" applyFont="1"/>
    <xf numFmtId="0" fontId="5" fillId="2" borderId="0" xfId="0" applyFont="1" applyFill="1"/>
    <xf numFmtId="0" fontId="5" fillId="2" borderId="0" xfId="0" applyFont="1" applyFill="1" applyAlignment="1">
      <alignment horizontal="left"/>
    </xf>
    <xf numFmtId="3" fontId="5" fillId="2" borderId="0" xfId="0" applyNumberFormat="1" applyFont="1" applyFill="1" applyAlignment="1">
      <alignment horizontal="left"/>
    </xf>
    <xf numFmtId="3" fontId="4" fillId="0" borderId="0" xfId="0" applyNumberFormat="1" applyFont="1"/>
    <xf numFmtId="3" fontId="5" fillId="0" borderId="4" xfId="0" applyNumberFormat="1" applyFont="1" applyBorder="1"/>
    <xf numFmtId="0" fontId="5" fillId="0" borderId="4" xfId="0" applyFont="1" applyBorder="1"/>
    <xf numFmtId="0" fontId="3" fillId="0" borderId="4" xfId="0" applyFont="1" applyBorder="1"/>
    <xf numFmtId="3" fontId="5" fillId="0" borderId="11" xfId="1" applyNumberFormat="1" applyFont="1" applyBorder="1"/>
    <xf numFmtId="3" fontId="5" fillId="0" borderId="0" xfId="0" applyNumberFormat="1" applyFont="1" applyAlignment="1">
      <alignment horizontal="right"/>
    </xf>
    <xf numFmtId="3" fontId="5" fillId="0" borderId="0" xfId="1" applyNumberFormat="1" applyFont="1" applyBorder="1" applyAlignment="1">
      <alignment horizontal="right"/>
    </xf>
    <xf numFmtId="164" fontId="5" fillId="0" borderId="0" xfId="1" applyNumberFormat="1" applyFont="1" applyBorder="1" applyAlignment="1">
      <alignment horizontal="right"/>
    </xf>
    <xf numFmtId="164" fontId="5" fillId="0" borderId="0" xfId="0" applyNumberFormat="1" applyFont="1" applyAlignment="1">
      <alignment horizontal="right" wrapText="1"/>
    </xf>
    <xf numFmtId="3" fontId="5" fillId="0" borderId="0" xfId="1" applyNumberFormat="1" applyFont="1" applyFill="1" applyBorder="1" applyAlignment="1">
      <alignment horizontal="right"/>
    </xf>
    <xf numFmtId="165" fontId="5" fillId="0" borderId="0" xfId="0" applyNumberFormat="1" applyFont="1" applyAlignment="1">
      <alignment horizontal="right"/>
    </xf>
    <xf numFmtId="3" fontId="5" fillId="0" borderId="4" xfId="0" applyNumberFormat="1" applyFont="1" applyBorder="1" applyAlignment="1">
      <alignment horizontal="right"/>
    </xf>
    <xf numFmtId="164" fontId="5" fillId="0" borderId="0" xfId="1" applyNumberFormat="1" applyFont="1" applyAlignment="1">
      <alignment horizontal="right"/>
    </xf>
    <xf numFmtId="3" fontId="7" fillId="0" borderId="0" xfId="0" applyNumberFormat="1" applyFont="1"/>
    <xf numFmtId="2" fontId="3" fillId="0" borderId="0" xfId="0" applyNumberFormat="1" applyFont="1"/>
    <xf numFmtId="3" fontId="8" fillId="0" borderId="0" xfId="1" applyNumberFormat="1" applyFont="1"/>
    <xf numFmtId="0" fontId="4" fillId="0" borderId="12" xfId="0" applyFont="1" applyBorder="1"/>
    <xf numFmtId="0" fontId="4" fillId="0" borderId="12" xfId="0" applyFont="1" applyBorder="1" applyAlignment="1">
      <alignment horizontal="left"/>
    </xf>
    <xf numFmtId="0" fontId="4" fillId="0" borderId="3" xfId="0" applyFont="1" applyBorder="1"/>
    <xf numFmtId="0" fontId="4" fillId="0" borderId="7" xfId="0" applyFont="1" applyBorder="1"/>
    <xf numFmtId="0" fontId="4" fillId="0" borderId="10" xfId="0" applyFont="1" applyBorder="1"/>
    <xf numFmtId="0" fontId="4" fillId="0" borderId="15" xfId="0" applyFont="1" applyBorder="1"/>
    <xf numFmtId="0" fontId="4" fillId="0" borderId="14" xfId="0" applyFont="1" applyBorder="1"/>
    <xf numFmtId="3" fontId="5" fillId="0" borderId="0" xfId="0" applyNumberFormat="1" applyFont="1" applyAlignment="1">
      <alignment wrapText="1"/>
    </xf>
    <xf numFmtId="3" fontId="5" fillId="0" borderId="4" xfId="1" applyNumberFormat="1" applyFont="1" applyBorder="1"/>
    <xf numFmtId="3" fontId="9" fillId="0" borderId="4" xfId="0" applyNumberFormat="1" applyFont="1" applyBorder="1" applyAlignment="1">
      <alignment horizontal="right"/>
    </xf>
    <xf numFmtId="3" fontId="5" fillId="0" borderId="4" xfId="0" applyNumberFormat="1" applyFont="1" applyBorder="1" applyAlignment="1">
      <alignment wrapText="1"/>
    </xf>
    <xf numFmtId="3" fontId="13" fillId="0" borderId="0" xfId="1" applyNumberFormat="1" applyFont="1" applyBorder="1"/>
    <xf numFmtId="3" fontId="13" fillId="0" borderId="4" xfId="1" applyNumberFormat="1" applyFont="1" applyBorder="1"/>
    <xf numFmtId="3" fontId="5" fillId="0" borderId="4" xfId="1" applyNumberFormat="1" applyFont="1" applyFill="1" applyBorder="1"/>
    <xf numFmtId="3" fontId="9" fillId="0" borderId="4" xfId="0" applyNumberFormat="1" applyFont="1" applyBorder="1"/>
    <xf numFmtId="3" fontId="6" fillId="0" borderId="4" xfId="0" applyNumberFormat="1" applyFont="1" applyBorder="1"/>
    <xf numFmtId="3" fontId="7" fillId="0" borderId="3" xfId="0" applyNumberFormat="1" applyFont="1" applyBorder="1"/>
    <xf numFmtId="3" fontId="7" fillId="0" borderId="3" xfId="0" applyNumberFormat="1" applyFont="1" applyBorder="1" applyAlignment="1">
      <alignment horizontal="left"/>
    </xf>
    <xf numFmtId="1" fontId="6" fillId="0" borderId="0" xfId="0" applyNumberFormat="1" applyFont="1"/>
    <xf numFmtId="0" fontId="4" fillId="0" borderId="12" xfId="0" applyFont="1" applyBorder="1" applyAlignment="1">
      <alignment horizontal="center" wrapText="1"/>
    </xf>
    <xf numFmtId="3" fontId="9" fillId="0" borderId="4" xfId="1" applyNumberFormat="1" applyFont="1" applyFill="1" applyBorder="1"/>
    <xf numFmtId="3" fontId="13" fillId="0" borderId="11" xfId="1" applyNumberFormat="1" applyFont="1" applyBorder="1"/>
    <xf numFmtId="3" fontId="7" fillId="0" borderId="4" xfId="0" applyNumberFormat="1" applyFont="1" applyBorder="1"/>
    <xf numFmtId="1" fontId="6" fillId="0" borderId="11" xfId="0" applyNumberFormat="1" applyFont="1" applyBorder="1"/>
    <xf numFmtId="1" fontId="6" fillId="0" borderId="4" xfId="0" applyNumberFormat="1" applyFont="1" applyBorder="1"/>
    <xf numFmtId="3" fontId="13" fillId="0" borderId="11" xfId="1" applyNumberFormat="1" applyFont="1" applyFill="1" applyBorder="1"/>
    <xf numFmtId="3" fontId="13" fillId="0" borderId="0" xfId="1" applyNumberFormat="1" applyFont="1" applyFill="1" applyBorder="1"/>
    <xf numFmtId="3" fontId="13" fillId="0" borderId="4" xfId="1" applyNumberFormat="1" applyFont="1" applyFill="1" applyBorder="1"/>
    <xf numFmtId="3" fontId="7" fillId="0" borderId="14" xfId="0" applyNumberFormat="1" applyFont="1" applyBorder="1" applyAlignment="1">
      <alignment horizontal="left"/>
    </xf>
    <xf numFmtId="3" fontId="5" fillId="0" borderId="4" xfId="1" applyNumberFormat="1" applyFont="1" applyFill="1" applyBorder="1" applyAlignment="1">
      <alignment horizontal="right"/>
    </xf>
    <xf numFmtId="3" fontId="5" fillId="0" borderId="0" xfId="1" applyNumberFormat="1" applyFont="1" applyBorder="1" applyAlignment="1">
      <alignment horizontal="left"/>
    </xf>
    <xf numFmtId="3" fontId="5" fillId="0" borderId="4" xfId="1" applyNumberFormat="1" applyFont="1" applyBorder="1" applyAlignment="1">
      <alignment horizontal="left"/>
    </xf>
    <xf numFmtId="3" fontId="6" fillId="0" borderId="0" xfId="0" applyNumberFormat="1" applyFont="1" applyAlignment="1">
      <alignment wrapText="1"/>
    </xf>
    <xf numFmtId="3" fontId="6" fillId="0" borderId="0" xfId="0" applyNumberFormat="1" applyFont="1"/>
    <xf numFmtId="3" fontId="9" fillId="0" borderId="4" xfId="1" applyNumberFormat="1" applyFont="1" applyBorder="1"/>
    <xf numFmtId="167" fontId="5" fillId="0" borderId="0" xfId="0" applyNumberFormat="1" applyFont="1"/>
    <xf numFmtId="167" fontId="5" fillId="0" borderId="0" xfId="3" applyNumberFormat="1" applyFont="1" applyBorder="1"/>
    <xf numFmtId="0" fontId="4" fillId="0" borderId="12" xfId="0" applyFont="1" applyBorder="1" applyAlignment="1">
      <alignment horizontal="right"/>
    </xf>
    <xf numFmtId="3" fontId="5" fillId="0" borderId="11" xfId="0" applyNumberFormat="1" applyFont="1" applyBorder="1" applyAlignment="1">
      <alignment horizontal="right"/>
    </xf>
    <xf numFmtId="167" fontId="5" fillId="0" borderId="0" xfId="3" applyNumberFormat="1" applyFont="1" applyBorder="1" applyAlignment="1">
      <alignment horizontal="right"/>
    </xf>
    <xf numFmtId="167" fontId="5" fillId="0" borderId="0" xfId="0" applyNumberFormat="1" applyFont="1" applyAlignment="1">
      <alignment horizontal="right"/>
    </xf>
    <xf numFmtId="3" fontId="7" fillId="0" borderId="3" xfId="0" applyNumberFormat="1" applyFont="1" applyBorder="1" applyAlignment="1">
      <alignment horizontal="right"/>
    </xf>
    <xf numFmtId="3" fontId="9" fillId="0" borderId="0" xfId="1" applyNumberFormat="1" applyFont="1" applyBorder="1"/>
    <xf numFmtId="3" fontId="5" fillId="0" borderId="19" xfId="1" applyNumberFormat="1" applyFont="1" applyBorder="1"/>
    <xf numFmtId="3" fontId="5" fillId="0" borderId="11" xfId="1" applyNumberFormat="1" applyFont="1" applyFill="1" applyBorder="1"/>
    <xf numFmtId="3" fontId="5" fillId="0" borderId="20" xfId="0" applyNumberFormat="1" applyFont="1" applyBorder="1"/>
    <xf numFmtId="3" fontId="5" fillId="0" borderId="19" xfId="0" applyNumberFormat="1" applyFont="1" applyBorder="1"/>
    <xf numFmtId="3" fontId="5" fillId="0" borderId="5" xfId="0" applyNumberFormat="1" applyFont="1" applyBorder="1"/>
    <xf numFmtId="167" fontId="5" fillId="0" borderId="4" xfId="3" applyNumberFormat="1" applyFont="1" applyBorder="1"/>
    <xf numFmtId="167" fontId="5" fillId="0" borderId="4" xfId="0" applyNumberFormat="1" applyFont="1" applyBorder="1"/>
    <xf numFmtId="3" fontId="9" fillId="0" borderId="0" xfId="0" applyNumberFormat="1" applyFont="1"/>
    <xf numFmtId="0" fontId="7" fillId="0" borderId="0" xfId="0" applyFont="1"/>
    <xf numFmtId="0" fontId="5" fillId="6" borderId="0" xfId="0" applyFont="1" applyFill="1" applyAlignment="1">
      <alignment wrapText="1"/>
    </xf>
    <xf numFmtId="0" fontId="6" fillId="6" borderId="0" xfId="0" applyFont="1" applyFill="1"/>
    <xf numFmtId="1" fontId="6" fillId="6" borderId="0" xfId="0" applyNumberFormat="1" applyFont="1" applyFill="1"/>
    <xf numFmtId="0" fontId="7" fillId="6" borderId="0" xfId="2" applyFont="1" applyFill="1"/>
    <xf numFmtId="0" fontId="18" fillId="0" borderId="0" xfId="0" applyFont="1" applyAlignment="1">
      <alignment horizontal="left"/>
    </xf>
    <xf numFmtId="164" fontId="5" fillId="0" borderId="0" xfId="1" applyNumberFormat="1" applyFont="1" applyFill="1" applyBorder="1" applyAlignment="1">
      <alignment horizontal="right"/>
    </xf>
    <xf numFmtId="164" fontId="5" fillId="0" borderId="0" xfId="0" applyNumberFormat="1" applyFont="1" applyAlignment="1">
      <alignment horizontal="right"/>
    </xf>
    <xf numFmtId="3" fontId="4" fillId="0" borderId="4" xfId="0" applyNumberFormat="1" applyFont="1" applyBorder="1" applyAlignment="1">
      <alignment horizontal="left" wrapText="1"/>
    </xf>
    <xf numFmtId="3" fontId="4" fillId="0" borderId="4" xfId="0" applyNumberFormat="1" applyFont="1" applyBorder="1" applyAlignment="1">
      <alignment horizontal="left"/>
    </xf>
    <xf numFmtId="3" fontId="4" fillId="0" borderId="4" xfId="0" applyNumberFormat="1" applyFont="1" applyBorder="1" applyAlignment="1">
      <alignment horizontal="left" vertical="center"/>
    </xf>
    <xf numFmtId="3" fontId="16" fillId="0" borderId="4" xfId="0" applyNumberFormat="1" applyFont="1" applyBorder="1" applyAlignment="1">
      <alignment horizontal="left" vertical="center"/>
    </xf>
    <xf numFmtId="3" fontId="15" fillId="0" borderId="0" xfId="0" applyNumberFormat="1" applyFont="1"/>
    <xf numFmtId="9" fontId="5" fillId="0" borderId="0" xfId="3" applyFont="1" applyBorder="1"/>
    <xf numFmtId="3" fontId="4" fillId="0" borderId="3" xfId="0" applyNumberFormat="1" applyFont="1" applyBorder="1" applyAlignment="1">
      <alignment horizontal="center" wrapText="1"/>
    </xf>
    <xf numFmtId="3" fontId="9" fillId="0" borderId="0" xfId="0" applyNumberFormat="1" applyFont="1" applyAlignment="1">
      <alignment horizontal="left"/>
    </xf>
    <xf numFmtId="3" fontId="5" fillId="0" borderId="0" xfId="1" applyNumberFormat="1" applyFont="1" applyFill="1" applyBorder="1" applyAlignment="1">
      <alignment horizontal="left"/>
    </xf>
    <xf numFmtId="3" fontId="5" fillId="0" borderId="4" xfId="1" applyNumberFormat="1" applyFont="1" applyFill="1" applyBorder="1" applyAlignment="1">
      <alignment horizontal="left"/>
    </xf>
    <xf numFmtId="3" fontId="7" fillId="7" borderId="0" xfId="0" applyNumberFormat="1" applyFont="1" applyFill="1"/>
    <xf numFmtId="3" fontId="5" fillId="7" borderId="0" xfId="0" applyNumberFormat="1" applyFont="1" applyFill="1"/>
    <xf numFmtId="3" fontId="5" fillId="7" borderId="0" xfId="0" applyNumberFormat="1" applyFont="1" applyFill="1" applyAlignment="1">
      <alignment horizontal="right"/>
    </xf>
    <xf numFmtId="3" fontId="5" fillId="7" borderId="4" xfId="0" applyNumberFormat="1" applyFont="1" applyFill="1" applyBorder="1" applyAlignment="1">
      <alignment horizontal="right"/>
    </xf>
    <xf numFmtId="3" fontId="5" fillId="7" borderId="4" xfId="0" applyNumberFormat="1" applyFont="1" applyFill="1" applyBorder="1"/>
    <xf numFmtId="3" fontId="5" fillId="7" borderId="0" xfId="1" applyNumberFormat="1" applyFont="1" applyFill="1" applyBorder="1" applyAlignment="1">
      <alignment horizontal="left"/>
    </xf>
    <xf numFmtId="3" fontId="5" fillId="7" borderId="4" xfId="1" applyNumberFormat="1" applyFont="1" applyFill="1" applyBorder="1" applyAlignment="1">
      <alignment horizontal="left"/>
    </xf>
    <xf numFmtId="3" fontId="5" fillId="7" borderId="11" xfId="0" applyNumberFormat="1" applyFont="1" applyFill="1" applyBorder="1"/>
    <xf numFmtId="164" fontId="5" fillId="7" borderId="11" xfId="1" applyNumberFormat="1" applyFont="1" applyFill="1" applyBorder="1"/>
    <xf numFmtId="164" fontId="5" fillId="7" borderId="0" xfId="1" applyNumberFormat="1" applyFont="1" applyFill="1" applyBorder="1"/>
    <xf numFmtId="164" fontId="5" fillId="7" borderId="4" xfId="1" applyNumberFormat="1" applyFont="1" applyFill="1" applyBorder="1"/>
    <xf numFmtId="0" fontId="4" fillId="0" borderId="4" xfId="0" applyFont="1" applyBorder="1"/>
    <xf numFmtId="9" fontId="5" fillId="0" borderId="4" xfId="3" applyFont="1" applyBorder="1"/>
    <xf numFmtId="0" fontId="12" fillId="0" borderId="12" xfId="0" applyFont="1" applyBorder="1" applyAlignment="1">
      <alignment wrapText="1"/>
    </xf>
    <xf numFmtId="0" fontId="12" fillId="0" borderId="12" xfId="0" applyFont="1" applyBorder="1"/>
    <xf numFmtId="0" fontId="11" fillId="0" borderId="5" xfId="0" applyFont="1" applyBorder="1" applyAlignment="1">
      <alignment wrapText="1"/>
    </xf>
    <xf numFmtId="0" fontId="11" fillId="0" borderId="0" xfId="0" applyFont="1" applyAlignment="1">
      <alignment wrapText="1"/>
    </xf>
    <xf numFmtId="0" fontId="11" fillId="0" borderId="4" xfId="0" applyFont="1" applyBorder="1" applyAlignment="1">
      <alignment wrapText="1"/>
    </xf>
    <xf numFmtId="0" fontId="20" fillId="0" borderId="4" xfId="0" applyFont="1" applyBorder="1" applyAlignment="1">
      <alignment wrapText="1"/>
    </xf>
    <xf numFmtId="0" fontId="20" fillId="0" borderId="0" xfId="0" applyFont="1" applyAlignment="1">
      <alignment wrapText="1"/>
    </xf>
    <xf numFmtId="0" fontId="11" fillId="0" borderId="0" xfId="0" applyFont="1" applyAlignment="1">
      <alignment vertical="center" wrapText="1"/>
    </xf>
    <xf numFmtId="0" fontId="22" fillId="0" borderId="0" xfId="0" applyFont="1" applyAlignment="1">
      <alignment vertical="center" wrapText="1"/>
    </xf>
    <xf numFmtId="0" fontId="23" fillId="0" borderId="4" xfId="0" applyFont="1" applyBorder="1" applyAlignment="1">
      <alignment wrapText="1"/>
    </xf>
    <xf numFmtId="0" fontId="23" fillId="0" borderId="0" xfId="0" applyFont="1" applyAlignment="1">
      <alignment wrapText="1"/>
    </xf>
    <xf numFmtId="3" fontId="11" fillId="0" borderId="0" xfId="0" applyNumberFormat="1" applyFont="1" applyAlignment="1">
      <alignment horizontal="left"/>
    </xf>
    <xf numFmtId="0" fontId="11" fillId="0" borderId="0" xfId="0" applyFont="1" applyAlignment="1">
      <alignment horizontal="left"/>
    </xf>
    <xf numFmtId="0" fontId="19" fillId="0" borderId="0" xfId="0" applyFont="1" applyAlignment="1">
      <alignment vertical="center" wrapText="1"/>
    </xf>
    <xf numFmtId="0" fontId="5" fillId="0" borderId="24" xfId="0" applyFont="1" applyBorder="1"/>
    <xf numFmtId="0" fontId="5" fillId="0" borderId="28" xfId="0" applyFont="1" applyBorder="1"/>
    <xf numFmtId="0" fontId="5" fillId="0" borderId="29" xfId="0" applyFont="1" applyBorder="1" applyAlignment="1">
      <alignment wrapText="1"/>
    </xf>
    <xf numFmtId="0" fontId="5" fillId="0" borderId="30" xfId="0" applyFont="1" applyBorder="1" applyAlignment="1">
      <alignment wrapText="1"/>
    </xf>
    <xf numFmtId="0" fontId="6" fillId="0" borderId="30" xfId="0" applyFont="1" applyBorder="1" applyAlignment="1">
      <alignment wrapText="1"/>
    </xf>
    <xf numFmtId="0" fontId="5" fillId="0" borderId="31" xfId="0" applyFont="1" applyBorder="1"/>
    <xf numFmtId="0" fontId="6" fillId="0" borderId="32" xfId="0" applyFont="1" applyBorder="1" applyAlignment="1">
      <alignment wrapText="1"/>
    </xf>
    <xf numFmtId="0" fontId="6" fillId="0" borderId="0" xfId="0" applyFont="1" applyAlignment="1">
      <alignment wrapText="1"/>
    </xf>
    <xf numFmtId="0" fontId="5" fillId="0" borderId="29" xfId="0" applyFont="1" applyBorder="1"/>
    <xf numFmtId="164" fontId="5" fillId="0" borderId="0" xfId="1" applyNumberFormat="1" applyFont="1" applyFill="1" applyBorder="1"/>
    <xf numFmtId="164" fontId="5" fillId="0" borderId="0" xfId="1" applyNumberFormat="1" applyFont="1" applyFill="1"/>
    <xf numFmtId="18" fontId="5" fillId="0" borderId="36" xfId="0" applyNumberFormat="1" applyFont="1" applyBorder="1"/>
    <xf numFmtId="18" fontId="5" fillId="0" borderId="31" xfId="0" applyNumberFormat="1" applyFont="1" applyBorder="1"/>
    <xf numFmtId="0" fontId="3" fillId="0" borderId="40" xfId="0" applyFont="1" applyBorder="1"/>
    <xf numFmtId="0" fontId="3" fillId="0" borderId="36" xfId="0" applyFont="1" applyBorder="1"/>
    <xf numFmtId="0" fontId="5" fillId="0" borderId="36" xfId="0" applyFont="1" applyBorder="1"/>
    <xf numFmtId="0" fontId="3" fillId="0" borderId="42" xfId="0" applyFont="1" applyBorder="1"/>
    <xf numFmtId="0" fontId="5" fillId="0" borderId="45" xfId="0" applyFont="1" applyBorder="1" applyAlignment="1">
      <alignment wrapText="1"/>
    </xf>
    <xf numFmtId="0" fontId="5" fillId="0" borderId="37" xfId="0" applyFont="1" applyBorder="1"/>
    <xf numFmtId="0" fontId="6" fillId="0" borderId="37" xfId="0" applyFont="1" applyBorder="1"/>
    <xf numFmtId="0" fontId="6" fillId="0" borderId="46" xfId="0" applyFont="1" applyBorder="1"/>
    <xf numFmtId="0" fontId="4" fillId="0" borderId="0" xfId="0" applyFont="1" applyAlignment="1">
      <alignment vertical="center"/>
    </xf>
    <xf numFmtId="0" fontId="5" fillId="0" borderId="0" xfId="0" applyFont="1" applyAlignment="1">
      <alignment horizontal="left" vertical="top" wrapText="1"/>
    </xf>
    <xf numFmtId="0" fontId="5" fillId="0" borderId="32" xfId="0" applyFont="1" applyBorder="1"/>
    <xf numFmtId="0" fontId="4" fillId="0" borderId="24" xfId="0" applyFont="1" applyBorder="1"/>
    <xf numFmtId="0" fontId="4" fillId="0" borderId="25" xfId="0" applyFont="1" applyBorder="1" applyAlignment="1">
      <alignment horizontal="center"/>
    </xf>
    <xf numFmtId="0" fontId="5" fillId="0" borderId="40" xfId="0" applyFont="1" applyBorder="1"/>
    <xf numFmtId="0" fontId="5" fillId="0" borderId="42" xfId="0" applyFont="1" applyBorder="1"/>
    <xf numFmtId="164" fontId="5" fillId="0" borderId="6" xfId="1" applyNumberFormat="1" applyFont="1" applyFill="1" applyBorder="1"/>
    <xf numFmtId="164" fontId="5" fillId="0" borderId="17" xfId="1" applyNumberFormat="1" applyFont="1" applyFill="1" applyBorder="1"/>
    <xf numFmtId="164" fontId="5" fillId="0" borderId="14" xfId="1" applyNumberFormat="1" applyFont="1" applyFill="1" applyBorder="1"/>
    <xf numFmtId="0" fontId="4" fillId="0" borderId="0" xfId="0" applyFont="1" applyAlignment="1">
      <alignment horizontal="center"/>
    </xf>
    <xf numFmtId="0" fontId="4" fillId="0" borderId="24" xfId="0" applyFont="1" applyBorder="1" applyAlignment="1">
      <alignment horizontal="center"/>
    </xf>
    <xf numFmtId="0" fontId="4" fillId="0" borderId="0" xfId="0" applyFont="1"/>
    <xf numFmtId="164" fontId="5" fillId="0" borderId="41" xfId="1" applyNumberFormat="1" applyFont="1" applyFill="1" applyBorder="1"/>
    <xf numFmtId="0" fontId="4" fillId="0" borderId="25" xfId="0" applyFont="1" applyBorder="1"/>
    <xf numFmtId="0" fontId="5" fillId="0" borderId="46" xfId="0" applyFont="1" applyBorder="1"/>
    <xf numFmtId="0" fontId="4" fillId="0" borderId="27" xfId="0" applyFont="1" applyBorder="1" applyAlignment="1">
      <alignment horizontal="center"/>
    </xf>
    <xf numFmtId="0" fontId="4" fillId="0" borderId="32" xfId="0" applyFont="1" applyBorder="1" applyAlignment="1">
      <alignment horizontal="center"/>
    </xf>
    <xf numFmtId="164" fontId="5" fillId="0" borderId="21" xfId="1" applyNumberFormat="1" applyFont="1" applyFill="1" applyBorder="1"/>
    <xf numFmtId="164" fontId="5" fillId="0" borderId="22" xfId="1" applyNumberFormat="1" applyFont="1" applyFill="1" applyBorder="1"/>
    <xf numFmtId="0" fontId="4" fillId="0" borderId="26" xfId="0" applyFont="1" applyBorder="1" applyAlignment="1">
      <alignment horizontal="right"/>
    </xf>
    <xf numFmtId="164" fontId="5" fillId="0" borderId="35" xfId="1" applyNumberFormat="1" applyFont="1" applyFill="1" applyBorder="1"/>
    <xf numFmtId="0" fontId="4" fillId="0" borderId="26" xfId="0" applyFont="1" applyBorder="1" applyAlignment="1">
      <alignment horizontal="center"/>
    </xf>
    <xf numFmtId="164" fontId="5" fillId="0" borderId="43" xfId="1" applyNumberFormat="1" applyFont="1" applyFill="1" applyBorder="1"/>
    <xf numFmtId="3" fontId="6" fillId="0" borderId="22" xfId="0" applyNumberFormat="1" applyFont="1" applyBorder="1"/>
    <xf numFmtId="0" fontId="5" fillId="0" borderId="23" xfId="0" applyFont="1" applyBorder="1" applyAlignment="1">
      <alignment vertical="center" wrapText="1"/>
    </xf>
    <xf numFmtId="0" fontId="5" fillId="0" borderId="2" xfId="0" applyFont="1" applyBorder="1" applyAlignment="1">
      <alignment vertical="center" wrapText="1"/>
    </xf>
    <xf numFmtId="0" fontId="5" fillId="0" borderId="2" xfId="0" applyFont="1" applyBorder="1"/>
    <xf numFmtId="0" fontId="5" fillId="0" borderId="12" xfId="0" applyFont="1" applyBorder="1"/>
    <xf numFmtId="0" fontId="5" fillId="0" borderId="48" xfId="0" applyFont="1" applyBorder="1"/>
    <xf numFmtId="0" fontId="5" fillId="0" borderId="38" xfId="0" applyFont="1" applyBorder="1"/>
    <xf numFmtId="0" fontId="5" fillId="0" borderId="39" xfId="0" applyFont="1" applyBorder="1"/>
    <xf numFmtId="0" fontId="6" fillId="0" borderId="0" xfId="0" applyFont="1"/>
    <xf numFmtId="0" fontId="4" fillId="0" borderId="31" xfId="0" applyFont="1" applyBorder="1"/>
    <xf numFmtId="0" fontId="4" fillId="8" borderId="0" xfId="0" applyFont="1" applyFill="1"/>
    <xf numFmtId="0" fontId="6" fillId="8" borderId="0" xfId="0" applyFont="1" applyFill="1" applyAlignment="1">
      <alignment wrapText="1"/>
    </xf>
    <xf numFmtId="164" fontId="5" fillId="8" borderId="0" xfId="1" applyNumberFormat="1" applyFont="1" applyFill="1"/>
    <xf numFmtId="0" fontId="16" fillId="8" borderId="0" xfId="0" applyFont="1" applyFill="1" applyAlignment="1">
      <alignment wrapText="1"/>
    </xf>
    <xf numFmtId="164" fontId="4" fillId="8" borderId="0" xfId="1" applyNumberFormat="1" applyFont="1" applyFill="1"/>
    <xf numFmtId="0" fontId="5" fillId="0" borderId="45" xfId="0" applyFont="1" applyBorder="1"/>
    <xf numFmtId="164" fontId="3" fillId="0" borderId="51" xfId="0" applyNumberFormat="1" applyFont="1" applyBorder="1"/>
    <xf numFmtId="0" fontId="5" fillId="0" borderId="37" xfId="0" applyFont="1" applyBorder="1" applyAlignment="1">
      <alignment wrapText="1"/>
    </xf>
    <xf numFmtId="164" fontId="3" fillId="0" borderId="49" xfId="0" applyNumberFormat="1" applyFont="1" applyBorder="1"/>
    <xf numFmtId="3" fontId="6" fillId="0" borderId="50" xfId="0" applyNumberFormat="1" applyFont="1" applyBorder="1"/>
    <xf numFmtId="0" fontId="5" fillId="0" borderId="30" xfId="0" applyFont="1" applyBorder="1"/>
    <xf numFmtId="0" fontId="5" fillId="0" borderId="52" xfId="0" applyFont="1" applyBorder="1"/>
    <xf numFmtId="0" fontId="5" fillId="0" borderId="51" xfId="0" applyFont="1" applyBorder="1"/>
    <xf numFmtId="164" fontId="5" fillId="0" borderId="49" xfId="1" applyNumberFormat="1" applyFont="1" applyBorder="1"/>
    <xf numFmtId="164" fontId="5" fillId="0" borderId="50" xfId="1" applyNumberFormat="1" applyFont="1" applyBorder="1"/>
    <xf numFmtId="0" fontId="4" fillId="9" borderId="0" xfId="0" applyFont="1" applyFill="1"/>
    <xf numFmtId="0" fontId="5" fillId="9" borderId="0" xfId="0" applyFont="1" applyFill="1"/>
    <xf numFmtId="0" fontId="4" fillId="9" borderId="0" xfId="0" applyFont="1" applyFill="1" applyAlignment="1">
      <alignment horizontal="left"/>
    </xf>
    <xf numFmtId="0" fontId="5" fillId="9" borderId="0" xfId="0" applyFont="1" applyFill="1" applyAlignment="1">
      <alignment horizontal="left"/>
    </xf>
    <xf numFmtId="0" fontId="4" fillId="10" borderId="0" xfId="0" applyFont="1" applyFill="1"/>
    <xf numFmtId="0" fontId="5" fillId="10" borderId="0" xfId="0" applyFont="1" applyFill="1"/>
    <xf numFmtId="0" fontId="4" fillId="11" borderId="0" xfId="0" applyFont="1" applyFill="1"/>
    <xf numFmtId="0" fontId="5" fillId="11" borderId="0" xfId="0" applyFont="1" applyFill="1"/>
    <xf numFmtId="0" fontId="4" fillId="0" borderId="27" xfId="0" applyFont="1" applyBorder="1"/>
    <xf numFmtId="0" fontId="5" fillId="0" borderId="0" xfId="0" applyFont="1" applyAlignment="1">
      <alignment horizontal="right"/>
    </xf>
    <xf numFmtId="0" fontId="4" fillId="0" borderId="3" xfId="0" applyFont="1" applyBorder="1" applyAlignment="1">
      <alignment wrapText="1"/>
    </xf>
    <xf numFmtId="2" fontId="5" fillId="0" borderId="0" xfId="0" applyNumberFormat="1" applyFont="1"/>
    <xf numFmtId="168" fontId="5" fillId="0" borderId="0" xfId="0" applyNumberFormat="1" applyFont="1"/>
    <xf numFmtId="0" fontId="15" fillId="0" borderId="0" xfId="0" applyFont="1"/>
    <xf numFmtId="0" fontId="15" fillId="0" borderId="4" xfId="0" applyFont="1" applyBorder="1" applyAlignment="1">
      <alignment horizontal="left" vertical="center"/>
    </xf>
    <xf numFmtId="3" fontId="7" fillId="0" borderId="0" xfId="0" applyNumberFormat="1" applyFont="1" applyAlignment="1">
      <alignment horizontal="right"/>
    </xf>
    <xf numFmtId="0" fontId="7" fillId="0" borderId="4" xfId="0" applyFont="1" applyBorder="1"/>
    <xf numFmtId="0" fontId="7" fillId="0" borderId="0" xfId="0" applyFont="1" applyAlignment="1">
      <alignment horizontal="left"/>
    </xf>
    <xf numFmtId="0" fontId="7" fillId="0" borderId="0" xfId="0" applyFont="1" applyAlignment="1">
      <alignment wrapText="1"/>
    </xf>
    <xf numFmtId="0" fontId="7" fillId="0" borderId="0" xfId="0" applyFont="1" applyAlignment="1">
      <alignment horizontal="right"/>
    </xf>
    <xf numFmtId="3" fontId="26" fillId="0" borderId="0" xfId="0" applyNumberFormat="1" applyFont="1" applyAlignment="1">
      <alignment horizontal="left"/>
    </xf>
    <xf numFmtId="3" fontId="4" fillId="0" borderId="0" xfId="0" applyNumberFormat="1" applyFont="1" applyAlignment="1">
      <alignment horizontal="right"/>
    </xf>
    <xf numFmtId="3" fontId="5" fillId="0" borderId="0" xfId="0" applyNumberFormat="1" applyFont="1" applyAlignment="1">
      <alignment horizontal="center"/>
    </xf>
    <xf numFmtId="3" fontId="4" fillId="0" borderId="7" xfId="0" applyNumberFormat="1" applyFont="1" applyBorder="1" applyAlignment="1">
      <alignment horizontal="center" wrapText="1"/>
    </xf>
    <xf numFmtId="3" fontId="5" fillId="0" borderId="0" xfId="0" applyNumberFormat="1" applyFont="1" applyAlignment="1">
      <alignment horizontal="center" wrapText="1"/>
    </xf>
    <xf numFmtId="3" fontId="4" fillId="4" borderId="5" xfId="5" applyNumberFormat="1" applyFont="1" applyBorder="1" applyAlignment="1">
      <alignment horizontal="left" wrapText="1"/>
    </xf>
    <xf numFmtId="3" fontId="5" fillId="4" borderId="0" xfId="5" applyNumberFormat="1" applyFont="1" applyAlignment="1">
      <alignment horizontal="right"/>
    </xf>
    <xf numFmtId="3" fontId="5" fillId="4" borderId="0" xfId="5" applyNumberFormat="1" applyFont="1" applyBorder="1" applyAlignment="1">
      <alignment horizontal="right"/>
    </xf>
    <xf numFmtId="3" fontId="5" fillId="4" borderId="0" xfId="5" applyNumberFormat="1" applyFont="1" applyAlignment="1">
      <alignment horizontal="right" wrapText="1"/>
    </xf>
    <xf numFmtId="164" fontId="5" fillId="4" borderId="0" xfId="5" applyNumberFormat="1" applyFont="1" applyBorder="1" applyAlignment="1">
      <alignment horizontal="right"/>
    </xf>
    <xf numFmtId="164" fontId="5" fillId="4" borderId="0" xfId="5" applyNumberFormat="1" applyFont="1" applyAlignment="1">
      <alignment horizontal="right" wrapText="1"/>
    </xf>
    <xf numFmtId="3" fontId="5" fillId="4" borderId="5" xfId="5" applyNumberFormat="1" applyFont="1" applyBorder="1" applyAlignment="1">
      <alignment horizontal="right"/>
    </xf>
    <xf numFmtId="3" fontId="5" fillId="4" borderId="0" xfId="5" applyNumberFormat="1" applyFont="1"/>
    <xf numFmtId="3" fontId="5" fillId="4" borderId="8" xfId="5" applyNumberFormat="1" applyFont="1" applyBorder="1" applyAlignment="1">
      <alignment horizontal="right" wrapText="1"/>
    </xf>
    <xf numFmtId="164" fontId="5" fillId="4" borderId="0" xfId="5" applyNumberFormat="1" applyFont="1"/>
    <xf numFmtId="3" fontId="5" fillId="4" borderId="4" xfId="5" applyNumberFormat="1" applyFont="1" applyBorder="1" applyAlignment="1">
      <alignment horizontal="right"/>
    </xf>
    <xf numFmtId="3" fontId="5" fillId="4" borderId="4" xfId="5" applyNumberFormat="1" applyFont="1" applyBorder="1" applyAlignment="1">
      <alignment horizontal="left" wrapText="1"/>
    </xf>
    <xf numFmtId="3" fontId="4" fillId="4" borderId="4" xfId="5" applyNumberFormat="1" applyFont="1" applyBorder="1" applyAlignment="1">
      <alignment horizontal="left" wrapText="1"/>
    </xf>
    <xf numFmtId="3" fontId="4" fillId="4" borderId="4" xfId="5" applyNumberFormat="1" applyFont="1" applyBorder="1" applyAlignment="1">
      <alignment horizontal="left" vertical="center" wrapText="1"/>
    </xf>
    <xf numFmtId="0" fontId="5" fillId="4" borderId="0" xfId="5" applyFont="1" applyAlignment="1">
      <alignment horizontal="right"/>
    </xf>
    <xf numFmtId="3" fontId="5" fillId="5" borderId="0" xfId="6" applyNumberFormat="1" applyFont="1"/>
    <xf numFmtId="3" fontId="5" fillId="5" borderId="4" xfId="6" applyNumberFormat="1" applyFont="1" applyBorder="1" applyAlignment="1">
      <alignment horizontal="left" vertical="center"/>
    </xf>
    <xf numFmtId="3" fontId="5" fillId="5" borderId="0" xfId="6" applyNumberFormat="1" applyFont="1" applyAlignment="1">
      <alignment horizontal="right"/>
    </xf>
    <xf numFmtId="3" fontId="5" fillId="5" borderId="4" xfId="6" applyNumberFormat="1" applyFont="1" applyBorder="1" applyAlignment="1">
      <alignment horizontal="right"/>
    </xf>
    <xf numFmtId="3" fontId="5" fillId="5" borderId="4" xfId="6" applyNumberFormat="1" applyFont="1" applyBorder="1" applyAlignment="1">
      <alignment horizontal="left"/>
    </xf>
    <xf numFmtId="164" fontId="5" fillId="5" borderId="0" xfId="6" applyNumberFormat="1" applyFont="1" applyBorder="1" applyAlignment="1">
      <alignment horizontal="right"/>
    </xf>
    <xf numFmtId="0" fontId="5" fillId="5" borderId="0" xfId="6" applyFont="1" applyAlignment="1">
      <alignment horizontal="right"/>
    </xf>
    <xf numFmtId="164" fontId="5" fillId="5" borderId="0" xfId="6" applyNumberFormat="1" applyFont="1"/>
    <xf numFmtId="0" fontId="5" fillId="5" borderId="0" xfId="6" applyFont="1"/>
    <xf numFmtId="3" fontId="27" fillId="3" borderId="0" xfId="4" applyNumberFormat="1" applyFont="1"/>
    <xf numFmtId="3" fontId="27" fillId="3" borderId="4" xfId="4" applyNumberFormat="1" applyFont="1" applyBorder="1" applyAlignment="1">
      <alignment horizontal="left" wrapText="1"/>
    </xf>
    <xf numFmtId="3" fontId="27" fillId="3" borderId="0" xfId="4" applyNumberFormat="1" applyFont="1" applyBorder="1" applyAlignment="1">
      <alignment horizontal="right"/>
    </xf>
    <xf numFmtId="3" fontId="27" fillId="3" borderId="0" xfId="4" applyNumberFormat="1" applyFont="1" applyAlignment="1">
      <alignment horizontal="right"/>
    </xf>
    <xf numFmtId="164" fontId="27" fillId="3" borderId="0" xfId="4" applyNumberFormat="1" applyFont="1" applyBorder="1" applyAlignment="1">
      <alignment horizontal="right"/>
    </xf>
    <xf numFmtId="0" fontId="27" fillId="3" borderId="0" xfId="4" applyFont="1" applyAlignment="1">
      <alignment horizontal="right"/>
    </xf>
    <xf numFmtId="3" fontId="27" fillId="3" borderId="4" xfId="4" applyNumberFormat="1" applyFont="1" applyBorder="1" applyAlignment="1">
      <alignment horizontal="right"/>
    </xf>
    <xf numFmtId="0" fontId="27" fillId="3" borderId="0" xfId="4" applyFont="1"/>
    <xf numFmtId="164" fontId="27" fillId="3" borderId="0" xfId="4" applyNumberFormat="1" applyFont="1" applyAlignment="1">
      <alignment horizontal="right"/>
    </xf>
    <xf numFmtId="3" fontId="27" fillId="3" borderId="4" xfId="4" applyNumberFormat="1" applyFont="1" applyBorder="1" applyAlignment="1">
      <alignment horizontal="left"/>
    </xf>
    <xf numFmtId="164" fontId="9" fillId="3" borderId="0" xfId="4" applyNumberFormat="1" applyFont="1" applyBorder="1" applyAlignment="1">
      <alignment horizontal="right"/>
    </xf>
    <xf numFmtId="3" fontId="27" fillId="3" borderId="0" xfId="4" applyNumberFormat="1" applyFont="1" applyBorder="1" applyAlignment="1">
      <alignment horizontal="left"/>
    </xf>
    <xf numFmtId="3" fontId="5" fillId="6" borderId="0" xfId="0" applyNumberFormat="1" applyFont="1" applyFill="1"/>
    <xf numFmtId="3" fontId="5" fillId="6" borderId="0" xfId="0" applyNumberFormat="1" applyFont="1" applyFill="1" applyAlignment="1">
      <alignment horizontal="right"/>
    </xf>
    <xf numFmtId="3" fontId="5" fillId="6" borderId="4" xfId="0" applyNumberFormat="1" applyFont="1" applyFill="1" applyBorder="1" applyAlignment="1">
      <alignment horizontal="right"/>
    </xf>
    <xf numFmtId="1" fontId="5" fillId="6" borderId="0" xfId="0" applyNumberFormat="1" applyFont="1" applyFill="1" applyAlignment="1">
      <alignment horizontal="right"/>
    </xf>
    <xf numFmtId="3" fontId="5" fillId="2" borderId="0" xfId="0" applyNumberFormat="1" applyFont="1" applyFill="1" applyAlignment="1">
      <alignment horizontal="right"/>
    </xf>
    <xf numFmtId="167" fontId="5" fillId="0" borderId="4" xfId="0" applyNumberFormat="1" applyFont="1" applyBorder="1" applyAlignment="1">
      <alignment horizontal="right"/>
    </xf>
    <xf numFmtId="3" fontId="5" fillId="12" borderId="0" xfId="6" applyNumberFormat="1" applyFont="1" applyFill="1" applyAlignment="1">
      <alignment horizontal="right"/>
    </xf>
    <xf numFmtId="164" fontId="5" fillId="12" borderId="0" xfId="5" applyNumberFormat="1" applyFont="1" applyFill="1" applyAlignment="1">
      <alignment horizontal="right" wrapText="1"/>
    </xf>
    <xf numFmtId="3" fontId="5" fillId="12" borderId="0" xfId="5" applyNumberFormat="1" applyFont="1" applyFill="1" applyAlignment="1">
      <alignment horizontal="right"/>
    </xf>
    <xf numFmtId="3" fontId="5" fillId="2" borderId="4" xfId="0" applyNumberFormat="1" applyFont="1" applyFill="1" applyBorder="1" applyAlignment="1">
      <alignment horizontal="right"/>
    </xf>
    <xf numFmtId="3" fontId="5" fillId="12" borderId="0" xfId="5" applyNumberFormat="1" applyFont="1" applyFill="1" applyBorder="1" applyAlignment="1">
      <alignment horizontal="right"/>
    </xf>
    <xf numFmtId="3" fontId="5" fillId="5" borderId="0" xfId="6" applyNumberFormat="1" applyFont="1" applyBorder="1" applyAlignment="1">
      <alignment horizontal="right"/>
    </xf>
    <xf numFmtId="0" fontId="5" fillId="5" borderId="0" xfId="6" applyFont="1" applyBorder="1" applyAlignment="1">
      <alignment horizontal="right"/>
    </xf>
    <xf numFmtId="0" fontId="27" fillId="3" borderId="0" xfId="4" applyFont="1" applyBorder="1" applyAlignment="1">
      <alignment horizontal="right"/>
    </xf>
    <xf numFmtId="0" fontId="11" fillId="0" borderId="4" xfId="0" applyFont="1" applyBorder="1"/>
    <xf numFmtId="0" fontId="20" fillId="0" borderId="4" xfId="0" applyFont="1" applyBorder="1"/>
    <xf numFmtId="0" fontId="15" fillId="0" borderId="1" xfId="0" applyFont="1" applyBorder="1" applyAlignment="1">
      <alignment horizontal="center"/>
    </xf>
    <xf numFmtId="3" fontId="15" fillId="0" borderId="2" xfId="0" applyNumberFormat="1" applyFont="1" applyBorder="1" applyAlignment="1">
      <alignment horizontal="center"/>
    </xf>
    <xf numFmtId="3" fontId="15" fillId="0" borderId="6" xfId="0" applyNumberFormat="1" applyFont="1" applyBorder="1" applyAlignment="1">
      <alignment horizontal="center"/>
    </xf>
    <xf numFmtId="3" fontId="3" fillId="4" borderId="0" xfId="5" applyNumberFormat="1" applyFont="1" applyAlignment="1">
      <alignment horizontal="right"/>
    </xf>
    <xf numFmtId="3" fontId="3" fillId="0" borderId="0" xfId="0" applyNumberFormat="1" applyFont="1" applyAlignment="1">
      <alignment horizontal="right"/>
    </xf>
    <xf numFmtId="3" fontId="3" fillId="12" borderId="0" xfId="6" applyNumberFormat="1" applyFont="1" applyFill="1" applyBorder="1" applyAlignment="1">
      <alignment horizontal="right"/>
    </xf>
    <xf numFmtId="3" fontId="2" fillId="0" borderId="3" xfId="0" applyNumberFormat="1" applyFont="1" applyBorder="1" applyAlignment="1">
      <alignment horizontal="center" wrapText="1"/>
    </xf>
    <xf numFmtId="3" fontId="28" fillId="4" borderId="0" xfId="5" applyNumberFormat="1" applyFont="1" applyAlignment="1">
      <alignment horizontal="right"/>
    </xf>
    <xf numFmtId="3" fontId="28" fillId="0" borderId="0" xfId="5" applyNumberFormat="1" applyFont="1" applyFill="1" applyAlignment="1">
      <alignment horizontal="right"/>
    </xf>
    <xf numFmtId="3" fontId="28" fillId="13" borderId="0" xfId="5" applyNumberFormat="1" applyFont="1" applyFill="1" applyAlignment="1">
      <alignment horizontal="right"/>
    </xf>
    <xf numFmtId="3" fontId="3" fillId="5" borderId="0" xfId="6" applyNumberFormat="1" applyFont="1" applyAlignment="1">
      <alignment horizontal="right"/>
    </xf>
    <xf numFmtId="3" fontId="3" fillId="13" borderId="0" xfId="6" applyNumberFormat="1" applyFont="1" applyFill="1" applyAlignment="1">
      <alignment horizontal="right"/>
    </xf>
    <xf numFmtId="3" fontId="29" fillId="3" borderId="0" xfId="4" applyNumberFormat="1" applyFont="1" applyAlignment="1">
      <alignment horizontal="right"/>
    </xf>
    <xf numFmtId="3" fontId="29" fillId="14" borderId="0" xfId="4" applyNumberFormat="1" applyFont="1" applyFill="1" applyAlignment="1">
      <alignment horizontal="right"/>
    </xf>
    <xf numFmtId="0" fontId="29" fillId="3" borderId="0" xfId="4" applyFont="1" applyAlignment="1">
      <alignment horizontal="right"/>
    </xf>
    <xf numFmtId="3" fontId="3" fillId="6" borderId="0" xfId="0" applyNumberFormat="1" applyFont="1" applyFill="1" applyAlignment="1">
      <alignment horizontal="right"/>
    </xf>
    <xf numFmtId="167" fontId="3" fillId="0" borderId="4" xfId="0" applyNumberFormat="1" applyFont="1" applyBorder="1" applyAlignment="1">
      <alignment horizontal="right"/>
    </xf>
    <xf numFmtId="3" fontId="3" fillId="2" borderId="4" xfId="0" applyNumberFormat="1" applyFont="1" applyFill="1" applyBorder="1" applyAlignment="1">
      <alignment horizontal="right"/>
    </xf>
    <xf numFmtId="3" fontId="3" fillId="15" borderId="0" xfId="0" applyNumberFormat="1" applyFont="1" applyFill="1" applyAlignment="1">
      <alignment horizontal="center"/>
    </xf>
    <xf numFmtId="3" fontId="2" fillId="15" borderId="3" xfId="0" applyNumberFormat="1" applyFont="1" applyFill="1" applyBorder="1" applyAlignment="1">
      <alignment horizontal="center" wrapText="1"/>
    </xf>
    <xf numFmtId="3" fontId="3" fillId="15" borderId="0" xfId="5" applyNumberFormat="1" applyFont="1" applyFill="1" applyAlignment="1">
      <alignment horizontal="right"/>
    </xf>
    <xf numFmtId="3" fontId="29" fillId="15" borderId="0" xfId="4" applyNumberFormat="1" applyFont="1" applyFill="1" applyAlignment="1">
      <alignment horizontal="right"/>
    </xf>
    <xf numFmtId="3" fontId="3" fillId="15" borderId="0" xfId="0" applyNumberFormat="1" applyFont="1" applyFill="1" applyAlignment="1">
      <alignment horizontal="right"/>
    </xf>
    <xf numFmtId="167" fontId="3" fillId="15" borderId="4" xfId="0" applyNumberFormat="1" applyFont="1" applyFill="1" applyBorder="1" applyAlignment="1">
      <alignment horizontal="right"/>
    </xf>
    <xf numFmtId="3" fontId="30" fillId="15" borderId="4" xfId="0" applyNumberFormat="1" applyFont="1" applyFill="1" applyBorder="1" applyAlignment="1">
      <alignment horizontal="right"/>
    </xf>
    <xf numFmtId="3" fontId="3" fillId="15" borderId="4" xfId="0" applyNumberFormat="1" applyFont="1" applyFill="1" applyBorder="1" applyAlignment="1">
      <alignment horizontal="right"/>
    </xf>
    <xf numFmtId="3" fontId="3" fillId="12" borderId="0" xfId="5" applyNumberFormat="1" applyFont="1" applyFill="1" applyAlignment="1">
      <alignment horizontal="right"/>
    </xf>
    <xf numFmtId="3" fontId="2" fillId="0" borderId="2" xfId="0" applyNumberFormat="1" applyFont="1" applyBorder="1" applyAlignment="1">
      <alignment horizontal="center"/>
    </xf>
    <xf numFmtId="3" fontId="4" fillId="0" borderId="2" xfId="0" applyNumberFormat="1" applyFont="1" applyBorder="1" applyAlignment="1">
      <alignment horizontal="center"/>
    </xf>
    <xf numFmtId="3" fontId="4" fillId="0" borderId="6" xfId="0" applyNumberFormat="1" applyFont="1" applyBorder="1" applyAlignment="1">
      <alignment horizontal="center"/>
    </xf>
    <xf numFmtId="3" fontId="4" fillId="0" borderId="1" xfId="0" applyNumberFormat="1" applyFont="1" applyBorder="1" applyAlignment="1">
      <alignment horizontal="center"/>
    </xf>
    <xf numFmtId="3" fontId="4" fillId="0" borderId="3" xfId="0" applyNumberFormat="1" applyFont="1" applyBorder="1" applyAlignment="1">
      <alignment horizontal="center"/>
    </xf>
    <xf numFmtId="3" fontId="4" fillId="0" borderId="1" xfId="0" applyNumberFormat="1" applyFont="1" applyBorder="1" applyAlignment="1">
      <alignment horizontal="center" wrapText="1"/>
    </xf>
    <xf numFmtId="3" fontId="4" fillId="0" borderId="3" xfId="0" applyNumberFormat="1" applyFont="1" applyBorder="1" applyAlignment="1">
      <alignment horizontal="center" wrapText="1"/>
    </xf>
    <xf numFmtId="3" fontId="4" fillId="0" borderId="9" xfId="0" applyNumberFormat="1" applyFont="1" applyBorder="1" applyAlignment="1">
      <alignment horizontal="center"/>
    </xf>
    <xf numFmtId="0" fontId="15" fillId="0" borderId="2" xfId="0" applyFont="1" applyBorder="1" applyAlignment="1">
      <alignment horizontal="center"/>
    </xf>
    <xf numFmtId="0" fontId="15" fillId="0" borderId="1" xfId="0" applyFont="1" applyBorder="1" applyAlignment="1">
      <alignment horizontal="center"/>
    </xf>
    <xf numFmtId="0" fontId="15" fillId="0" borderId="6" xfId="0" applyFont="1" applyBorder="1" applyAlignment="1">
      <alignment horizontal="center"/>
    </xf>
    <xf numFmtId="0" fontId="15" fillId="0" borderId="9"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4" fillId="0" borderId="1" xfId="0" applyFont="1" applyBorder="1" applyAlignment="1">
      <alignment horizontal="center" wrapText="1"/>
    </xf>
    <xf numFmtId="0" fontId="4" fillId="0" borderId="3" xfId="0" applyFont="1" applyBorder="1" applyAlignment="1">
      <alignment horizontal="center" wrapText="1"/>
    </xf>
    <xf numFmtId="0" fontId="15" fillId="0" borderId="13" xfId="0"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3" fontId="15" fillId="0" borderId="2" xfId="0" applyNumberFormat="1" applyFont="1" applyBorder="1" applyAlignment="1">
      <alignment horizontal="center"/>
    </xf>
    <xf numFmtId="3" fontId="15" fillId="0" borderId="1" xfId="0" applyNumberFormat="1" applyFont="1" applyBorder="1" applyAlignment="1">
      <alignment horizontal="center"/>
    </xf>
    <xf numFmtId="3" fontId="15" fillId="0" borderId="3" xfId="0" applyNumberFormat="1" applyFont="1" applyBorder="1" applyAlignment="1">
      <alignment horizontal="center"/>
    </xf>
    <xf numFmtId="3" fontId="15" fillId="0" borderId="13" xfId="0" applyNumberFormat="1" applyFont="1" applyBorder="1" applyAlignment="1">
      <alignment horizontal="center"/>
    </xf>
    <xf numFmtId="3" fontId="15" fillId="0" borderId="7" xfId="0" applyNumberFormat="1" applyFont="1" applyBorder="1" applyAlignment="1">
      <alignment horizontal="center"/>
    </xf>
    <xf numFmtId="3" fontId="15" fillId="0" borderId="6" xfId="0" applyNumberFormat="1" applyFont="1" applyBorder="1" applyAlignment="1">
      <alignment horizontal="center"/>
    </xf>
    <xf numFmtId="0" fontId="24" fillId="0" borderId="0" xfId="0" applyFont="1" applyAlignment="1">
      <alignment horizontal="center" vertical="center"/>
    </xf>
    <xf numFmtId="0" fontId="4" fillId="9" borderId="12" xfId="0" applyFont="1" applyFill="1" applyBorder="1" applyAlignment="1">
      <alignment horizontal="center"/>
    </xf>
    <xf numFmtId="0" fontId="4" fillId="8" borderId="12" xfId="0" applyFont="1" applyFill="1" applyBorder="1" applyAlignment="1">
      <alignment horizontal="center"/>
    </xf>
    <xf numFmtId="0" fontId="5" fillId="0" borderId="34" xfId="0" applyFont="1" applyBorder="1" applyAlignment="1">
      <alignment horizontal="center" vertical="center"/>
    </xf>
    <xf numFmtId="0" fontId="5" fillId="0" borderId="18" xfId="0" applyFont="1" applyBorder="1" applyAlignment="1">
      <alignment horizontal="center" vertical="center"/>
    </xf>
    <xf numFmtId="0" fontId="5" fillId="0" borderId="33" xfId="0" applyFont="1" applyBorder="1" applyAlignment="1">
      <alignment horizontal="center" vertical="center"/>
    </xf>
    <xf numFmtId="0" fontId="5" fillId="0" borderId="30" xfId="0" applyFont="1" applyBorder="1" applyAlignment="1">
      <alignment horizontal="center" vertical="center"/>
    </xf>
    <xf numFmtId="0" fontId="5" fillId="0" borderId="32"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2" xfId="0" applyFont="1" applyBorder="1" applyAlignment="1">
      <alignment horizontal="center" vertical="center"/>
    </xf>
    <xf numFmtId="0" fontId="25" fillId="0" borderId="24" xfId="0" applyFont="1" applyBorder="1" applyAlignment="1">
      <alignment horizontal="center" vertical="center"/>
    </xf>
    <xf numFmtId="0" fontId="25" fillId="0" borderId="27" xfId="0" applyFont="1" applyBorder="1" applyAlignment="1">
      <alignment horizontal="center" vertical="center"/>
    </xf>
    <xf numFmtId="0" fontId="16" fillId="0" borderId="47" xfId="0" applyFont="1" applyBorder="1" applyAlignment="1">
      <alignment horizontal="center" vertical="center"/>
    </xf>
    <xf numFmtId="0" fontId="16" fillId="0" borderId="44" xfId="0" applyFont="1" applyBorder="1" applyAlignment="1">
      <alignment horizontal="center" vertical="center"/>
    </xf>
    <xf numFmtId="0" fontId="4" fillId="0" borderId="4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0" xfId="0" applyFont="1"/>
    <xf numFmtId="0" fontId="2" fillId="0" borderId="0" xfId="0" applyFont="1" applyAlignment="1">
      <alignment horizontal="right"/>
    </xf>
    <xf numFmtId="0" fontId="2" fillId="0" borderId="2"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3" fillId="0" borderId="6" xfId="0" applyFont="1" applyBorder="1"/>
    <xf numFmtId="0" fontId="2" fillId="0" borderId="3" xfId="0" applyFont="1" applyBorder="1" applyAlignment="1">
      <alignment wrapText="1"/>
    </xf>
    <xf numFmtId="0" fontId="2" fillId="0" borderId="3" xfId="0" applyFont="1" applyBorder="1" applyAlignment="1">
      <alignment horizontal="right" wrapText="1"/>
    </xf>
    <xf numFmtId="0" fontId="2" fillId="0" borderId="7" xfId="0" applyFont="1" applyBorder="1" applyAlignment="1">
      <alignment wrapText="1"/>
    </xf>
    <xf numFmtId="0" fontId="2" fillId="0" borderId="10" xfId="0" applyFont="1" applyBorder="1" applyAlignment="1">
      <alignment wrapText="1"/>
    </xf>
    <xf numFmtId="0" fontId="2" fillId="0" borderId="12" xfId="0" applyFont="1" applyBorder="1" applyAlignment="1">
      <alignment wrapText="1"/>
    </xf>
    <xf numFmtId="0" fontId="2" fillId="0" borderId="14" xfId="0" applyFont="1" applyBorder="1" applyAlignment="1">
      <alignment wrapText="1"/>
    </xf>
    <xf numFmtId="3" fontId="3" fillId="0" borderId="0" xfId="0" applyNumberFormat="1" applyFont="1"/>
    <xf numFmtId="3" fontId="3" fillId="0" borderId="4" xfId="0" applyNumberFormat="1" applyFont="1" applyBorder="1"/>
    <xf numFmtId="3" fontId="3" fillId="0" borderId="20" xfId="0" applyNumberFormat="1" applyFont="1" applyBorder="1"/>
    <xf numFmtId="3" fontId="3" fillId="2" borderId="0" xfId="0" applyNumberFormat="1" applyFont="1" applyFill="1"/>
    <xf numFmtId="3" fontId="3" fillId="0" borderId="11" xfId="0" applyNumberFormat="1" applyFont="1" applyBorder="1"/>
    <xf numFmtId="164" fontId="5" fillId="0" borderId="0" xfId="1" applyNumberFormat="1" applyFont="1"/>
    <xf numFmtId="3" fontId="28" fillId="0" borderId="0" xfId="0" applyNumberFormat="1" applyFont="1"/>
    <xf numFmtId="3" fontId="31" fillId="2" borderId="0" xfId="0" applyNumberFormat="1" applyFont="1" applyFill="1"/>
    <xf numFmtId="3" fontId="32" fillId="0" borderId="0" xfId="0" applyNumberFormat="1" applyFont="1"/>
    <xf numFmtId="3" fontId="32" fillId="0" borderId="0" xfId="0" applyNumberFormat="1" applyFont="1" applyAlignment="1">
      <alignment horizontal="right"/>
    </xf>
    <xf numFmtId="3" fontId="33" fillId="0" borderId="0" xfId="0" applyNumberFormat="1" applyFont="1"/>
    <xf numFmtId="3" fontId="33" fillId="0" borderId="4" xfId="0" applyNumberFormat="1" applyFont="1" applyBorder="1"/>
    <xf numFmtId="3" fontId="32" fillId="0" borderId="11" xfId="0" applyNumberFormat="1" applyFont="1" applyBorder="1"/>
    <xf numFmtId="3" fontId="32" fillId="0" borderId="4" xfId="0" applyNumberFormat="1" applyFont="1" applyBorder="1"/>
    <xf numFmtId="3" fontId="15" fillId="0" borderId="11" xfId="1" applyNumberFormat="1" applyFont="1" applyBorder="1"/>
    <xf numFmtId="3" fontId="15" fillId="0" borderId="0" xfId="1" applyNumberFormat="1" applyFont="1" applyBorder="1"/>
    <xf numFmtId="3" fontId="4" fillId="0" borderId="4" xfId="0" applyNumberFormat="1" applyFont="1" applyBorder="1"/>
    <xf numFmtId="3" fontId="34" fillId="0" borderId="0" xfId="0" applyNumberFormat="1" applyFont="1"/>
    <xf numFmtId="3" fontId="35" fillId="0" borderId="0" xfId="0" applyNumberFormat="1" applyFont="1"/>
    <xf numFmtId="0" fontId="8" fillId="0" borderId="0" xfId="0" applyFont="1"/>
    <xf numFmtId="3" fontId="8" fillId="0" borderId="0" xfId="0" applyNumberFormat="1" applyFont="1"/>
    <xf numFmtId="0" fontId="6" fillId="0" borderId="0" xfId="0" applyFont="1" applyAlignment="1">
      <alignment horizontal="left"/>
    </xf>
    <xf numFmtId="0" fontId="7" fillId="16" borderId="0" xfId="0" applyFont="1" applyFill="1"/>
    <xf numFmtId="0" fontId="6" fillId="16" borderId="0" xfId="0" applyFont="1" applyFill="1" applyAlignment="1">
      <alignment horizontal="left"/>
    </xf>
    <xf numFmtId="3" fontId="5" fillId="16" borderId="0" xfId="0" applyNumberFormat="1" applyFont="1" applyFill="1"/>
    <xf numFmtId="3" fontId="5" fillId="16" borderId="0" xfId="0" applyNumberFormat="1" applyFont="1" applyFill="1" applyAlignment="1">
      <alignment horizontal="right"/>
    </xf>
    <xf numFmtId="164" fontId="5" fillId="16" borderId="0" xfId="1" applyNumberFormat="1" applyFont="1" applyFill="1" applyBorder="1"/>
    <xf numFmtId="3" fontId="5" fillId="16" borderId="4" xfId="0" applyNumberFormat="1" applyFont="1" applyFill="1" applyBorder="1"/>
    <xf numFmtId="3" fontId="5" fillId="16" borderId="11" xfId="0" applyNumberFormat="1" applyFont="1" applyFill="1" applyBorder="1"/>
    <xf numFmtId="0" fontId="5" fillId="16" borderId="4" xfId="0" applyFont="1" applyFill="1" applyBorder="1"/>
    <xf numFmtId="164" fontId="5" fillId="16" borderId="0" xfId="1" applyNumberFormat="1" applyFont="1" applyFill="1"/>
    <xf numFmtId="3" fontId="5" fillId="16" borderId="0" xfId="1" applyNumberFormat="1" applyFont="1" applyFill="1" applyBorder="1"/>
    <xf numFmtId="0" fontId="3" fillId="0" borderId="0" xfId="0" applyFont="1" applyAlignment="1">
      <alignment horizontal="right"/>
    </xf>
    <xf numFmtId="164" fontId="5" fillId="0" borderId="4" xfId="1" applyNumberFormat="1" applyFont="1" applyBorder="1"/>
    <xf numFmtId="164" fontId="5" fillId="0" borderId="11" xfId="1" applyNumberFormat="1" applyFont="1" applyBorder="1"/>
    <xf numFmtId="0" fontId="3" fillId="0" borderId="11" xfId="0" applyFont="1" applyBorder="1"/>
    <xf numFmtId="166" fontId="3" fillId="0" borderId="0" xfId="0" applyNumberFormat="1" applyFont="1" applyAlignment="1">
      <alignment horizontal="right"/>
    </xf>
    <xf numFmtId="2" fontId="3" fillId="0" borderId="0" xfId="0" applyNumberFormat="1" applyFont="1" applyAlignment="1">
      <alignment horizontal="right"/>
    </xf>
    <xf numFmtId="3" fontId="5" fillId="0" borderId="0" xfId="0" applyNumberFormat="1" applyFont="1" applyFill="1"/>
    <xf numFmtId="3" fontId="3" fillId="0" borderId="0" xfId="0" applyNumberFormat="1" applyFont="1" applyFill="1"/>
    <xf numFmtId="0" fontId="3" fillId="0" borderId="0" xfId="0" applyFont="1" applyFill="1"/>
    <xf numFmtId="3" fontId="28" fillId="0" borderId="0" xfId="0" applyNumberFormat="1" applyFont="1" applyFill="1"/>
    <xf numFmtId="3" fontId="5" fillId="0" borderId="0" xfId="0" applyNumberFormat="1" applyFont="1" applyBorder="1"/>
    <xf numFmtId="0" fontId="4" fillId="0" borderId="53" xfId="0" applyFont="1" applyBorder="1"/>
    <xf numFmtId="3" fontId="5" fillId="0" borderId="13" xfId="0" applyNumberFormat="1" applyFont="1" applyBorder="1"/>
    <xf numFmtId="3" fontId="9" fillId="0" borderId="0" xfId="0" applyNumberFormat="1" applyFont="1" applyBorder="1" applyAlignment="1">
      <alignment horizontal="right"/>
    </xf>
    <xf numFmtId="167" fontId="5" fillId="0" borderId="0" xfId="0" applyNumberFormat="1" applyFont="1" applyBorder="1"/>
    <xf numFmtId="3" fontId="5" fillId="0" borderId="0" xfId="0" applyNumberFormat="1" applyFont="1" applyBorder="1" applyAlignment="1">
      <alignment horizontal="right"/>
    </xf>
    <xf numFmtId="0" fontId="15" fillId="0" borderId="8" xfId="0" applyFont="1" applyBorder="1" applyAlignment="1">
      <alignment horizontal="center"/>
    </xf>
    <xf numFmtId="3" fontId="5" fillId="0" borderId="0" xfId="0" applyNumberFormat="1" applyFont="1" applyBorder="1" applyAlignment="1">
      <alignment horizontal="left"/>
    </xf>
    <xf numFmtId="3" fontId="5" fillId="0" borderId="20" xfId="1" applyNumberFormat="1" applyFont="1" applyBorder="1" applyAlignment="1">
      <alignment horizontal="left"/>
    </xf>
    <xf numFmtId="3" fontId="3" fillId="13" borderId="4" xfId="0" applyNumberFormat="1" applyFont="1" applyFill="1" applyBorder="1"/>
    <xf numFmtId="0" fontId="2" fillId="0" borderId="4" xfId="0" applyFont="1" applyBorder="1"/>
    <xf numFmtId="3" fontId="9" fillId="0" borderId="0" xfId="0" applyNumberFormat="1" applyFont="1" applyBorder="1"/>
    <xf numFmtId="0" fontId="2" fillId="0" borderId="14" xfId="0" applyFont="1" applyBorder="1"/>
    <xf numFmtId="0" fontId="28" fillId="0" borderId="0" xfId="0" applyFont="1"/>
    <xf numFmtId="3" fontId="36" fillId="0" borderId="0" xfId="0" applyNumberFormat="1" applyFont="1"/>
    <xf numFmtId="167" fontId="36" fillId="0" borderId="0" xfId="0" applyNumberFormat="1" applyFont="1"/>
    <xf numFmtId="3" fontId="15" fillId="0" borderId="9" xfId="0" applyNumberFormat="1" applyFont="1" applyBorder="1" applyAlignment="1">
      <alignment horizontal="center"/>
    </xf>
    <xf numFmtId="3" fontId="7" fillId="0" borderId="14" xfId="0" applyNumberFormat="1" applyFont="1" applyBorder="1"/>
    <xf numFmtId="3" fontId="7" fillId="0" borderId="15" xfId="0" applyNumberFormat="1" applyFont="1" applyBorder="1"/>
    <xf numFmtId="3" fontId="7" fillId="0" borderId="7" xfId="0" applyNumberFormat="1" applyFont="1" applyBorder="1"/>
    <xf numFmtId="3" fontId="7" fillId="0" borderId="12" xfId="0" applyNumberFormat="1" applyFont="1" applyBorder="1" applyAlignment="1">
      <alignment horizontal="right"/>
    </xf>
    <xf numFmtId="3" fontId="7" fillId="0" borderId="7" xfId="0" applyNumberFormat="1" applyFont="1" applyBorder="1" applyAlignment="1">
      <alignment horizontal="right"/>
    </xf>
    <xf numFmtId="3" fontId="7" fillId="0" borderId="12" xfId="0" applyNumberFormat="1" applyFont="1" applyBorder="1" applyAlignment="1">
      <alignment horizontal="left"/>
    </xf>
    <xf numFmtId="3" fontId="7" fillId="0" borderId="6" xfId="0" applyNumberFormat="1" applyFont="1" applyBorder="1"/>
    <xf numFmtId="3" fontId="7" fillId="0" borderId="54" xfId="0" applyNumberFormat="1" applyFont="1" applyBorder="1" applyAlignment="1">
      <alignment horizontal="left"/>
    </xf>
    <xf numFmtId="3" fontId="5" fillId="0" borderId="20" xfId="1" applyNumberFormat="1" applyFont="1" applyBorder="1"/>
    <xf numFmtId="3" fontId="5" fillId="0" borderId="20" xfId="0" applyNumberFormat="1" applyFont="1" applyBorder="1" applyAlignment="1">
      <alignment horizontal="right"/>
    </xf>
    <xf numFmtId="3" fontId="5" fillId="0" borderId="55" xfId="0" applyNumberFormat="1" applyFont="1" applyBorder="1" applyAlignment="1">
      <alignment horizontal="left"/>
    </xf>
    <xf numFmtId="3" fontId="9" fillId="0" borderId="4" xfId="0" applyNumberFormat="1" applyFont="1" applyBorder="1" applyAlignment="1">
      <alignment wrapText="1"/>
    </xf>
    <xf numFmtId="3" fontId="9" fillId="0" borderId="4" xfId="1" applyNumberFormat="1" applyFont="1" applyFill="1" applyBorder="1" applyAlignment="1">
      <alignment horizontal="left"/>
    </xf>
    <xf numFmtId="0" fontId="5" fillId="7" borderId="4" xfId="0" applyFont="1" applyFill="1" applyBorder="1"/>
    <xf numFmtId="3" fontId="6" fillId="0" borderId="4" xfId="0" applyNumberFormat="1" applyFont="1" applyBorder="1" applyAlignment="1">
      <alignment wrapText="1"/>
    </xf>
    <xf numFmtId="3" fontId="5" fillId="13" borderId="4" xfId="1" applyNumberFormat="1" applyFont="1" applyFill="1" applyBorder="1" applyAlignment="1">
      <alignment horizontal="right"/>
    </xf>
    <xf numFmtId="3" fontId="5" fillId="13" borderId="4" xfId="0" applyNumberFormat="1" applyFont="1" applyFill="1" applyBorder="1"/>
  </cellXfs>
  <cellStyles count="7">
    <cellStyle name="20 % – uthevingsfarge 1" xfId="5" builtinId="30"/>
    <cellStyle name="40 % – uthevingsfarge 5" xfId="6" builtinId="47"/>
    <cellStyle name="God" xfId="4" builtinId="26"/>
    <cellStyle name="Hyperkobling" xfId="2" builtinId="8"/>
    <cellStyle name="Komma" xfId="1" builtinId="3"/>
    <cellStyle name="Normal" xfId="0" builtinId="0"/>
    <cellStyle name="Prosent" xfId="3" builtinId="5"/>
  </cellStyles>
  <dxfs count="0"/>
  <tableStyles count="0" defaultTableStyle="TableStyleMedium2" defaultPivotStyle="PivotStyleLight16"/>
  <colors>
    <mruColors>
      <color rgb="FFE5A9E1"/>
      <color rgb="FF9D2F95"/>
      <color rgb="FFAFEC34"/>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MO-AVD\5434%20Statusrapport%20kollektivtransport\2025\Sammenstilling_2025-08-14.xlsx" TargetMode="External"/><Relationship Id="rId1" Type="http://schemas.openxmlformats.org/officeDocument/2006/relationships/externalLinkPath" Target="Sammenstilling_2025-08-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mmenstilling_total"/>
      <sheetName val="Tabeller og figurer (Fylker)"/>
      <sheetName val="Utledet variable (total), fig2"/>
      <sheetName val="Tabeller &amp; figurer (Miljø)"/>
      <sheetName val="Tabeller &amp; figurer (total)"/>
      <sheetName val="CO2"/>
      <sheetName val="Diftstoff"/>
      <sheetName val="Sammenstilling_buss"/>
      <sheetName val="Sammenstilling_Ferge"/>
      <sheetName val="Ferge_figurer"/>
      <sheetName val="Sammenstilling_Ferge (2)"/>
      <sheetName val="Sammenstilling_Skinnegående"/>
      <sheetName val="Sammenstilling_Båt&amp;Hurtigbåt"/>
      <sheetName val="KPI Justering"/>
      <sheetName val="Buss-Indeks Gabriel"/>
      <sheetName val="Endring (2019-2023)"/>
      <sheetName val="Utledet variable (total), fig1"/>
      <sheetName val="Bevilgninger_Landsbasis"/>
      <sheetName val="Nasjonale figurer"/>
      <sheetName val="buss_1"/>
      <sheetName val="Ark1"/>
      <sheetName val="buss_utledet"/>
      <sheetName val="FLEXX"/>
      <sheetName val="Merknader"/>
      <sheetName val="Utledetvariabler"/>
    </sheetNames>
    <sheetDataSet>
      <sheetData sheetId="0"/>
      <sheetData sheetId="1"/>
      <sheetData sheetId="2"/>
      <sheetData sheetId="3"/>
      <sheetData sheetId="4"/>
      <sheetData sheetId="5"/>
      <sheetData sheetId="6"/>
      <sheetData sheetId="7">
        <row r="4">
          <cell r="BP4">
            <v>76515821.808318406</v>
          </cell>
          <cell r="BQ4">
            <v>5440624</v>
          </cell>
          <cell r="BR4">
            <v>22368707</v>
          </cell>
          <cell r="BS4">
            <v>10138726</v>
          </cell>
          <cell r="BT4">
            <v>9091151</v>
          </cell>
          <cell r="BU4">
            <v>11857793</v>
          </cell>
          <cell r="BV4">
            <v>22810333</v>
          </cell>
          <cell r="BW4">
            <v>47620895</v>
          </cell>
          <cell r="BX4">
            <v>30318438.300000001</v>
          </cell>
          <cell r="BY4">
            <v>19151391</v>
          </cell>
          <cell r="BZ4">
            <v>17456974</v>
          </cell>
          <cell r="CA4">
            <v>12907044</v>
          </cell>
          <cell r="CB4">
            <v>13962284</v>
          </cell>
          <cell r="CC4">
            <v>10519428</v>
          </cell>
        </row>
        <row r="5">
          <cell r="BP5">
            <v>3267879661.2342458</v>
          </cell>
          <cell r="BQ5">
            <v>199198541</v>
          </cell>
          <cell r="BR5">
            <v>691491751</v>
          </cell>
          <cell r="BS5">
            <v>435965218</v>
          </cell>
          <cell r="BT5">
            <v>327281436</v>
          </cell>
          <cell r="BU5">
            <v>555167986</v>
          </cell>
          <cell r="BV5">
            <v>1034229518</v>
          </cell>
          <cell r="BW5">
            <v>2022500583</v>
          </cell>
          <cell r="BX5">
            <v>1303692846.9000001</v>
          </cell>
          <cell r="BY5">
            <v>842661204</v>
          </cell>
          <cell r="BZ5">
            <v>785563830</v>
          </cell>
          <cell r="CA5">
            <v>451746540</v>
          </cell>
          <cell r="CB5">
            <v>558491360</v>
          </cell>
          <cell r="CC5">
            <v>378699408</v>
          </cell>
        </row>
        <row r="6">
          <cell r="BP6">
            <v>179756599.89391184</v>
          </cell>
          <cell r="BQ6">
            <v>1482838</v>
          </cell>
          <cell r="BR6">
            <v>11085614</v>
          </cell>
          <cell r="BS6">
            <v>8484803</v>
          </cell>
          <cell r="BT6">
            <v>6371916</v>
          </cell>
          <cell r="BU6">
            <v>12302741</v>
          </cell>
          <cell r="BV6">
            <v>35324611</v>
          </cell>
          <cell r="BW6">
            <v>65079486</v>
          </cell>
          <cell r="BX6">
            <v>49845400.122407913</v>
          </cell>
          <cell r="BY6">
            <v>21851602</v>
          </cell>
          <cell r="BZ6">
            <v>6116299</v>
          </cell>
          <cell r="CA6">
            <v>7523996</v>
          </cell>
          <cell r="CB6">
            <v>18198084</v>
          </cell>
          <cell r="CC6">
            <v>10063700</v>
          </cell>
        </row>
        <row r="7">
          <cell r="BP7">
            <v>860154809.10424554</v>
          </cell>
          <cell r="BQ7">
            <v>32972950</v>
          </cell>
          <cell r="BR7">
            <v>119261412</v>
          </cell>
          <cell r="BS7">
            <v>67878424</v>
          </cell>
          <cell r="BT7">
            <v>109596955</v>
          </cell>
          <cell r="BU7">
            <v>140251247</v>
          </cell>
          <cell r="BV7">
            <v>202864453</v>
          </cell>
          <cell r="BW7">
            <v>527435508</v>
          </cell>
          <cell r="BX7">
            <v>523376701.28528309</v>
          </cell>
          <cell r="BY7">
            <v>188866445</v>
          </cell>
          <cell r="BZ7">
            <v>55046691</v>
          </cell>
          <cell r="CA7">
            <v>75239960</v>
          </cell>
          <cell r="CB7">
            <v>145207754</v>
          </cell>
          <cell r="CC7">
            <v>71452270</v>
          </cell>
        </row>
        <row r="8">
          <cell r="BP8">
            <v>5344843530.0140829</v>
          </cell>
          <cell r="BQ8">
            <v>0</v>
          </cell>
          <cell r="BR8">
            <v>1037237626.5</v>
          </cell>
          <cell r="BS8">
            <v>648878464</v>
          </cell>
          <cell r="BT8">
            <v>636380570</v>
          </cell>
          <cell r="BU8">
            <v>115316160212</v>
          </cell>
          <cell r="BV8">
            <v>1034229518</v>
          </cell>
          <cell r="BW8">
            <v>3841210107</v>
          </cell>
          <cell r="BX8">
            <v>2404252157.1900001</v>
          </cell>
          <cell r="BY8">
            <v>1168234851</v>
          </cell>
          <cell r="BZ8">
            <v>1379100946</v>
          </cell>
          <cell r="CA8">
            <v>0</v>
          </cell>
          <cell r="CB8">
            <v>113715613</v>
          </cell>
          <cell r="CC8">
            <v>945000000</v>
          </cell>
        </row>
        <row r="9">
          <cell r="BP9">
            <v>87993195.079566166</v>
          </cell>
          <cell r="BQ9">
            <v>6163254</v>
          </cell>
          <cell r="BR9">
            <v>25724013.049999997</v>
          </cell>
          <cell r="BS9">
            <v>11659534</v>
          </cell>
          <cell r="BT9">
            <v>10454824</v>
          </cell>
          <cell r="BU9">
            <v>13906214</v>
          </cell>
          <cell r="BV9">
            <v>22810333</v>
          </cell>
          <cell r="BW9">
            <v>54764029.249999993</v>
          </cell>
          <cell r="BX9">
            <v>34866204.045000002</v>
          </cell>
          <cell r="BY9">
            <v>22024099.649999999</v>
          </cell>
          <cell r="BZ9">
            <v>20075520</v>
          </cell>
          <cell r="CA9">
            <v>0</v>
          </cell>
          <cell r="CB9">
            <v>16056626</v>
          </cell>
          <cell r="CC9">
            <v>12097342</v>
          </cell>
        </row>
        <row r="10">
          <cell r="BP10">
            <v>2262024000</v>
          </cell>
          <cell r="BQ10">
            <v>267429430</v>
          </cell>
          <cell r="BR10">
            <v>891229729</v>
          </cell>
          <cell r="BS10">
            <v>560392000</v>
          </cell>
          <cell r="BT10">
            <v>348363426</v>
          </cell>
          <cell r="BU10">
            <v>530000000</v>
          </cell>
          <cell r="BV10">
            <v>1373197004</v>
          </cell>
          <cell r="BW10">
            <v>1254109079</v>
          </cell>
          <cell r="BX10">
            <v>1036200173</v>
          </cell>
          <cell r="BY10">
            <v>605862548.05293</v>
          </cell>
          <cell r="BZ10">
            <v>513985148</v>
          </cell>
          <cell r="CA10">
            <v>498697550</v>
          </cell>
          <cell r="CB10">
            <v>467981008</v>
          </cell>
          <cell r="CC10">
            <v>449462270</v>
          </cell>
        </row>
        <row r="11">
          <cell r="BP11">
            <v>146900000</v>
          </cell>
          <cell r="BQ11">
            <v>0</v>
          </cell>
          <cell r="BR11">
            <v>0</v>
          </cell>
          <cell r="BS11">
            <v>47873000</v>
          </cell>
          <cell r="BT11">
            <v>80052893</v>
          </cell>
          <cell r="BU11">
            <v>0</v>
          </cell>
          <cell r="BV11">
            <v>350907530</v>
          </cell>
          <cell r="BW11">
            <v>417699999</v>
          </cell>
          <cell r="BY11">
            <v>103403966.25280927</v>
          </cell>
          <cell r="BZ11">
            <v>0</v>
          </cell>
          <cell r="CB11">
            <v>119639347</v>
          </cell>
          <cell r="CC11">
            <v>0</v>
          </cell>
        </row>
        <row r="12">
          <cell r="BP12">
            <v>278000000</v>
          </cell>
          <cell r="BQ12">
            <v>0</v>
          </cell>
          <cell r="BR12">
            <v>0</v>
          </cell>
          <cell r="BT12">
            <v>0</v>
          </cell>
          <cell r="BU12">
            <v>80100008</v>
          </cell>
          <cell r="BV12">
            <v>0</v>
          </cell>
          <cell r="BW12">
            <v>0</v>
          </cell>
          <cell r="BY12">
            <v>5198000</v>
          </cell>
          <cell r="BZ12">
            <v>0</v>
          </cell>
          <cell r="CB12">
            <v>12451000</v>
          </cell>
          <cell r="CC12">
            <v>0</v>
          </cell>
        </row>
        <row r="14">
          <cell r="BP14">
            <v>2079538248.92609</v>
          </cell>
          <cell r="BQ14">
            <v>65625584</v>
          </cell>
          <cell r="BR14">
            <v>327592492</v>
          </cell>
          <cell r="BS14">
            <v>198100000</v>
          </cell>
          <cell r="BT14">
            <v>95788151.321428567</v>
          </cell>
          <cell r="BU14">
            <v>196883254</v>
          </cell>
          <cell r="BV14">
            <v>552856489</v>
          </cell>
          <cell r="BW14">
            <v>884414287.50999975</v>
          </cell>
          <cell r="BX14">
            <v>720392683</v>
          </cell>
          <cell r="BY14">
            <v>221723429.35714287</v>
          </cell>
          <cell r="BZ14">
            <v>251162598</v>
          </cell>
          <cell r="CA14">
            <v>181753854</v>
          </cell>
          <cell r="CB14">
            <v>271827000</v>
          </cell>
          <cell r="CC14">
            <v>185261113</v>
          </cell>
        </row>
        <row r="15">
          <cell r="BP15">
            <v>4778543108.5040503</v>
          </cell>
          <cell r="BQ15">
            <v>0</v>
          </cell>
          <cell r="BR15">
            <v>1172715578</v>
          </cell>
          <cell r="BS15">
            <v>743100000</v>
          </cell>
          <cell r="BT15">
            <v>439276563</v>
          </cell>
          <cell r="BU15">
            <v>916247965</v>
          </cell>
          <cell r="BV15">
            <v>2220647416</v>
          </cell>
          <cell r="BW15">
            <v>2749032973</v>
          </cell>
          <cell r="BX15">
            <v>1618054702</v>
          </cell>
          <cell r="BY15">
            <v>1030848279.8622639</v>
          </cell>
          <cell r="BZ15">
            <v>788182368</v>
          </cell>
          <cell r="CA15">
            <v>681676779</v>
          </cell>
          <cell r="CB15">
            <v>886026355</v>
          </cell>
          <cell r="CC15">
            <v>615828991</v>
          </cell>
        </row>
        <row r="16">
          <cell r="BP16">
            <v>0</v>
          </cell>
          <cell r="BQ16">
            <v>0</v>
          </cell>
          <cell r="BR16">
            <v>74669459</v>
          </cell>
          <cell r="BS16">
            <v>40600000</v>
          </cell>
          <cell r="BT16">
            <v>38069041</v>
          </cell>
          <cell r="BU16">
            <v>4619</v>
          </cell>
          <cell r="BV16">
            <v>159615601</v>
          </cell>
          <cell r="BW16">
            <v>242263474</v>
          </cell>
          <cell r="BX16">
            <v>174792311</v>
          </cell>
          <cell r="BY16">
            <v>88747560.024079949</v>
          </cell>
          <cell r="BZ16">
            <v>13611891</v>
          </cell>
          <cell r="CB16">
            <v>0</v>
          </cell>
          <cell r="CC16">
            <v>37370791</v>
          </cell>
        </row>
        <row r="17">
          <cell r="BQ17">
            <v>333055014</v>
          </cell>
          <cell r="BR17">
            <v>1247385037</v>
          </cell>
          <cell r="BS17">
            <v>823800000</v>
          </cell>
          <cell r="BT17">
            <v>477345604</v>
          </cell>
          <cell r="BU17">
            <v>916252584</v>
          </cell>
          <cell r="BV17">
            <v>2380263017</v>
          </cell>
          <cell r="BW17">
            <v>2991296447</v>
          </cell>
          <cell r="BX17">
            <v>1792847013</v>
          </cell>
          <cell r="BY17">
            <v>1119595839.886344</v>
          </cell>
          <cell r="BZ17">
            <v>801794259</v>
          </cell>
          <cell r="CA17">
            <v>681676779</v>
          </cell>
          <cell r="CB17">
            <v>886026355</v>
          </cell>
          <cell r="CC17">
            <v>653199782</v>
          </cell>
        </row>
      </sheetData>
      <sheetData sheetId="8"/>
      <sheetData sheetId="9"/>
      <sheetData sheetId="10"/>
      <sheetData sheetId="11">
        <row r="4">
          <cell r="W4">
            <v>45080274.990000002</v>
          </cell>
          <cell r="X4">
            <v>4618801.5719999978</v>
          </cell>
          <cell r="Y4">
            <v>2990227</v>
          </cell>
          <cell r="Z4">
            <v>335020.71999999997</v>
          </cell>
        </row>
        <row r="5">
          <cell r="W5">
            <v>2073692649.5400002</v>
          </cell>
          <cell r="X5">
            <v>281539634.67599988</v>
          </cell>
          <cell r="Y5">
            <v>306492215</v>
          </cell>
          <cell r="Z5">
            <v>17756098.16</v>
          </cell>
        </row>
        <row r="6">
          <cell r="W6">
            <v>116039940</v>
          </cell>
          <cell r="X6">
            <v>51578938.144193694</v>
          </cell>
          <cell r="Y6">
            <v>25850368</v>
          </cell>
          <cell r="Z6">
            <v>1266243</v>
          </cell>
        </row>
        <row r="7">
          <cell r="W7">
            <v>631843548.80001545</v>
          </cell>
          <cell r="X7">
            <v>113484795.86448769</v>
          </cell>
          <cell r="Y7">
            <v>139521927</v>
          </cell>
          <cell r="Z7">
            <v>6179265.8399999999</v>
          </cell>
        </row>
        <row r="8">
          <cell r="W8">
            <v>5995676573.6700001</v>
          </cell>
          <cell r="X8">
            <v>767439884.36399972</v>
          </cell>
          <cell r="Y8">
            <v>831907441</v>
          </cell>
          <cell r="Z8">
            <v>45562817.919999994</v>
          </cell>
        </row>
        <row r="9">
          <cell r="W9">
            <v>51842316.238499999</v>
          </cell>
          <cell r="X9">
            <v>5311621.8077999968</v>
          </cell>
          <cell r="Y9">
            <v>3438761.05</v>
          </cell>
          <cell r="Z9">
            <v>335020.71999999997</v>
          </cell>
        </row>
        <row r="10">
          <cell r="W10">
            <v>417030876.54069299</v>
          </cell>
          <cell r="X10">
            <v>484198698.60182899</v>
          </cell>
          <cell r="Y10">
            <v>113450417</v>
          </cell>
          <cell r="Z10">
            <v>29990107</v>
          </cell>
        </row>
        <row r="11">
          <cell r="Y11">
            <v>0</v>
          </cell>
        </row>
        <row r="12">
          <cell r="W12">
            <v>330000000</v>
          </cell>
          <cell r="X12">
            <v>132200000</v>
          </cell>
          <cell r="Y12">
            <v>0</v>
          </cell>
        </row>
        <row r="14">
          <cell r="W14">
            <v>1234797988.2699599</v>
          </cell>
          <cell r="X14">
            <v>547854016.51932704</v>
          </cell>
          <cell r="Y14">
            <v>224156379</v>
          </cell>
          <cell r="Z14">
            <v>16543747.321428569</v>
          </cell>
        </row>
        <row r="15">
          <cell r="W15">
            <v>1981828864.8106599</v>
          </cell>
          <cell r="X15">
            <v>1164252715.12116</v>
          </cell>
          <cell r="Y15">
            <v>337606796</v>
          </cell>
          <cell r="Z15">
            <v>28550363</v>
          </cell>
        </row>
        <row r="16">
          <cell r="W16">
            <v>122947.985</v>
          </cell>
          <cell r="X16">
            <v>16682536</v>
          </cell>
          <cell r="Y16">
            <v>0</v>
          </cell>
          <cell r="Z16">
            <v>1579583</v>
          </cell>
        </row>
        <row r="17">
          <cell r="Y17">
            <v>337606796</v>
          </cell>
          <cell r="Z17">
            <v>30129946</v>
          </cell>
        </row>
      </sheetData>
      <sheetData sheetId="12">
        <row r="4">
          <cell r="H4">
            <v>397008</v>
          </cell>
          <cell r="N4">
            <v>297970</v>
          </cell>
          <cell r="AJ4">
            <v>993575.05999999994</v>
          </cell>
          <cell r="AP4">
            <v>33700</v>
          </cell>
          <cell r="AV4">
            <v>867125</v>
          </cell>
          <cell r="BB4">
            <v>307142</v>
          </cell>
          <cell r="BH4">
            <v>1294801</v>
          </cell>
          <cell r="BN4">
            <v>551005</v>
          </cell>
          <cell r="BS4">
            <v>175287</v>
          </cell>
        </row>
        <row r="5">
          <cell r="H5">
            <v>142533774.10933942</v>
          </cell>
          <cell r="N5">
            <v>28925010</v>
          </cell>
          <cell r="AJ5">
            <v>183332246</v>
          </cell>
          <cell r="AP5">
            <v>775100</v>
          </cell>
          <cell r="AV5">
            <v>92620674</v>
          </cell>
          <cell r="BB5">
            <v>79291903</v>
          </cell>
          <cell r="BH5">
            <v>155376146</v>
          </cell>
          <cell r="BN5">
            <v>117135059</v>
          </cell>
          <cell r="BS5">
            <v>20859153</v>
          </cell>
        </row>
        <row r="6">
          <cell r="H6">
            <v>4018071.0554529638</v>
          </cell>
          <cell r="N6">
            <v>51311</v>
          </cell>
          <cell r="AJ6">
            <v>574682</v>
          </cell>
          <cell r="AP6">
            <v>38584.224999999999</v>
          </cell>
          <cell r="AV6">
            <v>506708</v>
          </cell>
          <cell r="BB6">
            <v>404798</v>
          </cell>
          <cell r="BH6">
            <v>457644</v>
          </cell>
          <cell r="BN6">
            <v>289813</v>
          </cell>
          <cell r="BS6">
            <v>401279</v>
          </cell>
        </row>
        <row r="7">
          <cell r="H7">
            <v>22435340.071534861</v>
          </cell>
          <cell r="N7">
            <v>4441271</v>
          </cell>
          <cell r="AJ7">
            <v>46905521</v>
          </cell>
          <cell r="AP7">
            <v>81026.872499999998</v>
          </cell>
          <cell r="AV7">
            <v>11329848</v>
          </cell>
          <cell r="BB7">
            <v>4927354</v>
          </cell>
          <cell r="BH7">
            <v>20593980</v>
          </cell>
          <cell r="BN7">
            <v>24933215</v>
          </cell>
          <cell r="BS7">
            <v>1203837</v>
          </cell>
        </row>
        <row r="8">
          <cell r="H8">
            <v>154664914.10933942</v>
          </cell>
          <cell r="N8">
            <v>0</v>
          </cell>
          <cell r="AJ8">
            <v>183332246</v>
          </cell>
          <cell r="AP8">
            <v>775100</v>
          </cell>
          <cell r="AV8">
            <v>92620674</v>
          </cell>
          <cell r="BB8">
            <v>79291903</v>
          </cell>
          <cell r="BN8">
            <v>117135059</v>
          </cell>
          <cell r="BS8">
            <v>169327242</v>
          </cell>
        </row>
        <row r="9">
          <cell r="H9">
            <v>456559.19999999995</v>
          </cell>
          <cell r="N9">
            <v>297970</v>
          </cell>
          <cell r="AJ9">
            <v>1142611.3189999999</v>
          </cell>
          <cell r="AP9">
            <v>38755</v>
          </cell>
          <cell r="AV9">
            <v>867125</v>
          </cell>
          <cell r="BB9">
            <v>307142</v>
          </cell>
          <cell r="BN9">
            <v>551005</v>
          </cell>
          <cell r="BS9">
            <v>201580</v>
          </cell>
        </row>
        <row r="10">
          <cell r="H10">
            <v>220947525.52951899</v>
          </cell>
          <cell r="I10">
            <v>167142007</v>
          </cell>
          <cell r="N10">
            <v>238151517</v>
          </cell>
          <cell r="AD10">
            <v>400644026</v>
          </cell>
          <cell r="AJ10">
            <v>223403764</v>
          </cell>
          <cell r="BB10">
            <v>179885728</v>
          </cell>
          <cell r="BH10">
            <v>596190054</v>
          </cell>
          <cell r="BN10">
            <v>112321255</v>
          </cell>
        </row>
        <row r="11">
          <cell r="H11">
            <v>1000000</v>
          </cell>
          <cell r="N11">
            <v>0</v>
          </cell>
          <cell r="BB11">
            <v>0</v>
          </cell>
          <cell r="BN11">
            <v>0</v>
          </cell>
        </row>
        <row r="12">
          <cell r="H12">
            <v>29000000</v>
          </cell>
          <cell r="N12">
            <v>0</v>
          </cell>
          <cell r="BB12">
            <v>0</v>
          </cell>
          <cell r="BN12">
            <v>3130000</v>
          </cell>
        </row>
        <row r="14">
          <cell r="H14">
            <v>49911032.234621003</v>
          </cell>
          <cell r="N14">
            <v>0</v>
          </cell>
          <cell r="AJ14">
            <v>85769829</v>
          </cell>
          <cell r="BB14">
            <v>22521232</v>
          </cell>
          <cell r="BH14">
            <v>-39272177</v>
          </cell>
          <cell r="BN14">
            <v>75179000</v>
          </cell>
        </row>
        <row r="15">
          <cell r="H15">
            <v>300858557.76414001</v>
          </cell>
          <cell r="N15">
            <v>0</v>
          </cell>
          <cell r="AJ15">
            <v>302968477</v>
          </cell>
          <cell r="BB15">
            <v>209576386</v>
          </cell>
          <cell r="BH15">
            <v>620274167</v>
          </cell>
          <cell r="BN15">
            <v>190786255</v>
          </cell>
        </row>
        <row r="16">
          <cell r="H16">
            <v>0</v>
          </cell>
          <cell r="N16">
            <v>0</v>
          </cell>
          <cell r="AJ16">
            <v>11593844</v>
          </cell>
          <cell r="BN16">
            <v>0</v>
          </cell>
        </row>
        <row r="17">
          <cell r="N17">
            <v>238151517</v>
          </cell>
          <cell r="T17">
            <v>0</v>
          </cell>
          <cell r="AJ17">
            <v>314562321</v>
          </cell>
          <cell r="BB17">
            <v>209576386</v>
          </cell>
          <cell r="BH17">
            <v>620274167</v>
          </cell>
          <cell r="BN17">
            <v>190786255</v>
          </cell>
          <cell r="BS17">
            <v>0</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Fitwi Wolday" id="{2D92193E-5A90-4643-A3AC-A7BCC06A76C2}" userId="S::fitwi.wolday@toi.no::a9fd2d0b-771e-4fb9-900a-d1d243e2a95d" providerId="AD"/>
  <person displayName="Jørgen Aarhaug" id="{EB4D469B-85BD-4783-8567-6AE02499400D}" userId="S::jorgen.aarhaug@toi.no::3a1ab32b-2972-4211-8735-520150ece688" providerId="AD"/>
  <person displayName="Christoph Gabriel Harzer" id="{596BEB0F-2D37-4459-8CEB-5D9892067256}" userId="S::Christoph.Harzer@toi.no::65e098cf-520e-4cd8-b626-5e14b649f883" providerId="AD"/>
</personList>
</file>

<file path=xl/theme/theme1.xml><?xml version="1.0" encoding="utf-8"?>
<a:theme xmlns:a="http://schemas.openxmlformats.org/drawingml/2006/main" name="TØI">
  <a:themeElements>
    <a:clrScheme name="TØI">
      <a:dk1>
        <a:sysClr val="windowText" lastClr="000000"/>
      </a:dk1>
      <a:lt1>
        <a:sysClr val="window" lastClr="FFFFFF"/>
      </a:lt1>
      <a:dk2>
        <a:srgbClr val="7B715E"/>
      </a:dk2>
      <a:lt2>
        <a:srgbClr val="E7E5E1"/>
      </a:lt2>
      <a:accent1>
        <a:srgbClr val="3F868D"/>
      </a:accent1>
      <a:accent2>
        <a:srgbClr val="C5CC8E"/>
      </a:accent2>
      <a:accent3>
        <a:srgbClr val="D3741C"/>
      </a:accent3>
      <a:accent4>
        <a:srgbClr val="FFE271"/>
      </a:accent4>
      <a:accent5>
        <a:srgbClr val="8BC9DD"/>
      </a:accent5>
      <a:accent6>
        <a:srgbClr val="336699"/>
      </a:accent6>
      <a:hlink>
        <a:srgbClr val="336699"/>
      </a:hlink>
      <a:folHlink>
        <a:srgbClr val="777777"/>
      </a:folHlink>
    </a:clrScheme>
    <a:fontScheme name="TØI">
      <a:majorFont>
        <a:latin typeface="Arial"/>
        <a:ea typeface=""/>
        <a:cs typeface=""/>
      </a:majorFont>
      <a:minorFont>
        <a:latin typeface="Garam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3" dT="2024-10-30T07:45:14.58" personId="{2D92193E-5A90-4643-A3AC-A7BCC06A76C2}" id="{6B6A9FDB-D893-4C82-A2B1-E3E7764F6BDA}">
    <text>(Økonomi inkluderer ferje)</text>
  </threadedComment>
  <threadedComment ref="V3" dT="2024-10-30T07:45:14.58" personId="{2D92193E-5A90-4643-A3AC-A7BCC06A76C2}" id="{A19E7B82-262C-4507-87E0-4A5339D7AB7A}">
    <text>(Økonomi inkluderer ferje)</text>
  </threadedComment>
  <threadedComment ref="AI3" dT="2024-10-30T07:45:14.58" personId="{2D92193E-5A90-4643-A3AC-A7BCC06A76C2}" id="{4410301E-9F47-4C5E-9D63-367715C50492}">
    <text>(Økonomi inkluderer ferje)</text>
  </threadedComment>
  <threadedComment ref="AV3" dT="2024-10-30T07:45:14.58" personId="{2D92193E-5A90-4643-A3AC-A7BCC06A76C2}" id="{06A5AE17-0B7C-4D41-898E-E16460DC2AD8}">
    <text>(Økonomi inkluderer ferje)</text>
  </threadedComment>
  <threadedComment ref="BI3" dT="2024-10-30T07:45:14.58" personId="{2D92193E-5A90-4643-A3AC-A7BCC06A76C2}" id="{7E0E58B2-E934-41DF-995B-FC634A0994E4}">
    <text>(Økonomi inkluderer ferje)</text>
  </threadedComment>
  <threadedComment ref="CD3" dT="2025-07-11T07:25:14.54" personId="{2D92193E-5A90-4643-A3AC-A7BCC06A76C2}" id="{82395DAB-050F-43BA-A54C-4BB194730395}">
    <text>Konstruert for å skape kontinuitet</text>
  </threadedComment>
  <threadedComment ref="G4" dT="2024-07-10T13:34:45.06" personId="{2D92193E-5A90-4643-A3AC-A7BCC06A76C2}" id="{F9D9F23A-47D6-4B16-86D3-F51B9CD70C87}">
    <text>2019 tall for båt mangler</text>
  </threadedComment>
  <threadedComment ref="BM4" dT="2024-07-10T14:36:26.52" personId="{2D92193E-5A90-4643-A3AC-A7BCC06A76C2}" id="{688884C0-9C77-4013-ACC1-826E296CAF41}">
    <text>Buss + båt</text>
  </threadedComment>
  <threadedComment ref="CA4" dT="2025-05-23T08:55:43.52" personId="{596BEB0F-2D37-4459-8CEB-5D9892067256}" id="{8EE30F3B-5B7B-4B52-956C-F1418301600E}">
    <text>Ingen tall for ferge</text>
  </threadedComment>
  <threadedComment ref="CB4" dT="2025-05-23T08:56:01.94" personId="{596BEB0F-2D37-4459-8CEB-5D9892067256}" id="{3FCD99CB-5357-47DF-AF7B-5E47746C2821}">
    <text>Ingen tall for ferge</text>
  </threadedComment>
  <threadedComment ref="D10" dT="2025-08-05T08:03:40.39" personId="{EB4D469B-85BD-4783-8567-6AE02499400D}" id="{8B558152-195E-4ABD-8876-45342CCF4357}">
    <text>Jeg har lagt til kosntnadene for hurtigbåt</text>
  </threadedComment>
  <threadedComment ref="N17" dT="2024-10-14T08:15:20.61" personId="{2D92193E-5A90-4643-A3AC-A7BCC06A76C2}" id="{17216626-1F78-4653-9E09-DD8595642A4A}">
    <text>Rapportert kun driftskostnader</text>
  </threadedComment>
  <threadedComment ref="BQ17" dT="2025-05-26T11:18:11.63" personId="{596BEB0F-2D37-4459-8CEB-5D9892067256}" id="{2FC263D2-CD01-4D0E-A351-4BE8652C681B}">
    <text>Uten busskostnader</text>
  </threadedComment>
  <threadedComment ref="BT19" dT="2025-05-16T09:16:50.92" personId="{596BEB0F-2D37-4459-8CEB-5D9892067256}" id="{F84736DD-0AED-4CB6-9BBA-8C167E602659}">
    <text xml:space="preserve">Lavere utslipp fra 2023 (-10%)  handler skyldes i hovedsak at vi kun har inkludert kjørte km i rutetrafikk, ikke kjørte km totalt. 
</text>
  </threadedComment>
  <threadedComment ref="BU19" dT="2025-05-16T09:16:50.92" personId="{596BEB0F-2D37-4459-8CEB-5D9892067256}" id="{1E33F52E-9CF4-4E63-86F5-1B6ECF56335F}">
    <text>2020-2023 Vestfold og Telemark . 2024 kun Telemark.
Tallene inkluderer kun 50 % av utslippet knyttet til ferge, fordi fylkeskommunens eierandel til fergeselskapene var 50 %.
 Utslipp i rad 13 samsvarer derfor ikke med reelt forbruk drivstoff som er opplyst.</text>
  </threadedComment>
  <threadedComment ref="BQ20" dT="2025-05-15T12:49:45.87" personId="{596BEB0F-2D37-4459-8CEB-5D9892067256}" id="{0F53988E-A4DA-439D-959A-AD4D930C9438}">
    <text>Har ikke tall</text>
  </threadedComment>
  <threadedComment ref="CA20" dT="2025-05-22T14:45:43.18" personId="{596BEB0F-2D37-4459-8CEB-5D9892067256}" id="{2B2127E2-5DE2-4F8C-AA05-B10A8EBBE13C}">
    <text xml:space="preserve">Trolig rapportert feil data foregående år, se mer utfyllende kommentar i e-post. </text>
  </threadedComment>
  <threadedComment ref="BP21" dT="2025-05-22T14:36:52.58" personId="{596BEB0F-2D37-4459-8CEB-5D9892067256}" id="{B14A185B-78EA-482D-A266-5045B4C5A5FA}">
    <text>Økningen knyttet til endring i regler for fritt skolevalg i Akershus</text>
  </threadedComment>
</ThreadedComments>
</file>

<file path=xl/threadedComments/threadedComment2.xml><?xml version="1.0" encoding="utf-8"?>
<ThreadedComments xmlns="http://schemas.microsoft.com/office/spreadsheetml/2018/threadedcomments" xmlns:x="http://schemas.openxmlformats.org/spreadsheetml/2006/main">
  <threadedComment ref="F3" dT="2024-09-26T12:35:06.14" personId="{2D92193E-5A90-4643-A3AC-A7BCC06A76C2}" id="{66661382-C61D-41DE-A6D9-5E2664F2E35C}">
    <text>Produksjons-, økonomi-, og miljøtall inkluderer data fra 1 båt gjennomgående for alle år.</text>
  </threadedComment>
  <threadedComment ref="T3" dT="2024-07-11T12:50:55.75" personId="{2D92193E-5A90-4643-A3AC-A7BCC06A76C2}" id="{D49D654B-E2A1-41A3-BA70-C0414E2D1AC4}">
    <text>Økonomitall for VTFK i årene 2020-2023 inkluderer tall for ferje/båt som da utgjør under 3% av transportarbeidet og ca. 5% billettinntektene.</text>
  </threadedComment>
  <threadedComment ref="AH3" dT="2024-09-26T13:24:06.18" personId="{2D92193E-5A90-4643-A3AC-A7BCC06A76C2}" id="{A8B9D23D-850B-4B5D-85B4-29AB7894F75A}">
    <text>Brakar har 2 båter, 1 elektrisk båt og reservebåt som går marin diesel. Produksjons-, økonomi- og utslippstall inkluderer disse 2 båtene</text>
  </threadedComment>
  <threadedComment ref="BS4" dT="2025-05-16T08:20:25.46" personId="{596BEB0F-2D37-4459-8CEB-5D9892067256}" id="{E6BFF0FA-551F-430C-8B7C-88A8191C5409}">
    <text xml:space="preserve">Redusert i 2024 pga bussbrann i Nedre Glomma i januar og nedtrekk i tilbudet Moss, Halden og Indre fra 28/10. </text>
  </threadedComment>
  <threadedComment ref="CC5" dT="2025-05-22T14:52:58.39" personId="{596BEB0F-2D37-4459-8CEB-5D9892067256}" id="{25DCD6AD-5F79-41E6-A5E3-A0EE51CA2D06}">
    <text>Ikke bestillingstransport inkludert</text>
  </threadedComment>
  <threadedComment ref="L10" dT="2024-08-20T09:52:00.14" personId="{2D92193E-5A90-4643-A3AC-A7BCC06A76C2}" id="{1FA26E28-FA12-48DD-8F39-BE51C1C8A937}">
    <text>Rapporterer samlet for båt og buss for hele serien</text>
  </threadedComment>
  <threadedComment ref="BT11" dT="2025-05-16T08:23:00.84" personId="{596BEB0F-2D37-4459-8CEB-5D9892067256}" id="{249C6ECD-1A47-44EA-AEEA-EA1D7D30E126}">
    <text>Belønningsordningen</text>
  </threadedComment>
  <threadedComment ref="BT14" dT="2025-05-16T08:23:17.57" personId="{596BEB0F-2D37-4459-8CEB-5D9892067256}" id="{8FF62CF4-AD57-40CC-9627-EC946310B220}">
    <text>Se merknader under som gjelder billettinntekter i nettokontrakter</text>
  </threadedComment>
  <threadedComment ref="BX14" dT="2025-05-16T08:28:30.17" personId="{596BEB0F-2D37-4459-8CEB-5D9892067256}" id="{98153068-B086-4D3B-A18A-498C5896AA56}">
    <text xml:space="preserve"> Lagt til inntekt skoleskyss på 140 MNOK. Denne er ikke rapportert tildligere år, men burde nok vært med </text>
  </threadedComment>
  <threadedComment ref="CC17" dT="2025-05-22T14:54:07.60" personId="{596BEB0F-2D37-4459-8CEB-5D9892067256}" id="{A02E7F0E-755E-4D99-BB0B-5F836A6B3DC8}">
    <text>Uten kostnad til øremerket utvidet TT-ordning</text>
  </threadedComment>
  <threadedComment ref="N18" dT="2024-10-08T09:54:57.57" personId="{2D92193E-5A90-4643-A3AC-A7BCC06A76C2}" id="{EEAF3BB3-C450-4A2A-816A-01ED13B147D6}">
    <text>Ikke oppgitt for hele serien</text>
  </threadedComment>
  <threadedComment ref="O18" dT="2024-10-08T09:56:19.70" personId="{2D92193E-5A90-4643-A3AC-A7BCC06A76C2}" id="{CCE58479-B254-4673-9D61-9C891B89F7AB}">
    <text>Tall oppgitt på materiale er altfor store til å være riktig. Gjelder hele serien (2019-2023)</text>
  </threadedComment>
  <threadedComment ref="BZ34" dT="2025-05-23T07:45:15.45" personId="{596BEB0F-2D37-4459-8CEB-5D9892067256}" id="{B738F597-1FA8-46F9-A0C8-F446A16E6FF8}">
    <text>Total: ferje, båt, buss</text>
  </threadedComment>
  <threadedComment ref="CC34" dT="2025-05-23T07:32:56.65" personId="{596BEB0F-2D37-4459-8CEB-5D9892067256}" id="{59AA0E8C-3247-48BE-AB8E-946E07A32039}">
    <text>Taxiselskapene rapporterer ikke liter, men kjørte km.</text>
  </threadedComment>
  <threadedComment ref="CC38" dT="2025-05-23T07:33:29.64" personId="{596BEB0F-2D37-4459-8CEB-5D9892067256}" id="{FBD29F46-6006-46A2-9C0E-3F2DF04F2287}">
    <text>Oppgis i Nm3 av bussleverandør, omregningsfaktor 1,055 er brukt til Sm3</text>
  </threadedComment>
  <threadedComment ref="BT39" dT="2025-05-23T07:27:57.03" personId="{596BEB0F-2D37-4459-8CEB-5D9892067256}" id="{9CAD1467-70A5-4DDA-A262-DC0CBF35F2E3}">
    <text xml:space="preserve"> Forbruk på ferge er ganget med 2 for å vise reellt forbruk (eierandelen til fergeselskapene var 50 %).</text>
  </threadedComment>
  <threadedComment ref="BZ39" dT="2025-05-23T07:47:03.90" personId="{596BEB0F-2D37-4459-8CEB-5D9892067256}" id="{D86A7C71-B08C-40AC-92CD-8F3784FA3A5B}">
    <text>Total: ferje, båt, buss</text>
  </threadedComment>
  <threadedComment ref="CC39" dT="2025-05-23T07:34:03.26" personId="{596BEB0F-2D37-4459-8CEB-5D9892067256}" id="{8553465A-F1F8-4FE3-B214-B2C750C92BBC}">
    <text>kWt er ikke tilgengelig data, kun kjørte km </text>
  </threadedComment>
  <threadedComment ref="CC40" dT="2025-05-23T07:34:20.23" personId="{596BEB0F-2D37-4459-8CEB-5D9892067256}" id="{F57035DB-DA24-4017-9563-3BEC93135764}">
    <text>Bensin. L er ikke tilgjengelig, kun kjørte km </text>
  </threadedComment>
</ThreadedComments>
</file>

<file path=xl/threadedComments/threadedComment3.xml><?xml version="1.0" encoding="utf-8"?>
<ThreadedComments xmlns="http://schemas.microsoft.com/office/spreadsheetml/2018/threadedcomments" xmlns:x="http://schemas.openxmlformats.org/spreadsheetml/2006/main">
  <threadedComment ref="N4" dT="2025-05-15T12:48:34.93" personId="{596BEB0F-2D37-4459-8CEB-5D9892067256}" id="{CD3B94A2-3857-4A8B-9D48-2F10D27A1BFC}">
    <text>Fra 2024 ble to av kombibåtstrekningene omdefinert til ferjesamband</text>
  </threadedComment>
  <threadedComment ref="AC8" dT="2025-05-22T12:33:33.59" personId="{596BEB0F-2D37-4459-8CEB-5D9892067256}" id="{22FCC0F6-FC65-4659-B341-15C12C25C685}">
    <text>=setekm</text>
  </threadedComment>
  <threadedComment ref="N14" dT="2025-05-15T12:46:57.45" personId="{596BEB0F-2D37-4459-8CEB-5D9892067256}" id="{4A2D9AD3-EE52-446F-B7F1-A6455E6E74B8}">
    <text>Ukjent for fylkeskommunen, da dette er nettokontrakter</text>
  </threadedComment>
</ThreadedComments>
</file>

<file path=xl/threadedComments/threadedComment4.xml><?xml version="1.0" encoding="utf-8"?>
<ThreadedComments xmlns="http://schemas.microsoft.com/office/spreadsheetml/2018/threadedcomments" xmlns:x="http://schemas.openxmlformats.org/spreadsheetml/2006/main">
  <threadedComment ref="AW7" dT="2025-06-03T12:30:47.20" personId="{596BEB0F-2D37-4459-8CEB-5D9892067256}" id="{905D2B94-5C5F-4FC9-A710-E9C175AA4C14}">
    <text>=Antall passasjerer</text>
  </threadedComment>
  <threadedComment ref="BC13" dT="2025-05-22T14:57:45.30" personId="{596BEB0F-2D37-4459-8CEB-5D9892067256}" id="{8B8B5009-9F77-4882-B1BA-321F7F5A7025}">
    <text>Utseilt distanse i Kostra</text>
  </threadedComment>
  <threadedComment ref="H14" dT="2025-05-15T12:49:25.41" personId="{596BEB0F-2D37-4459-8CEB-5D9892067256}" id="{41A7E695-B9CE-4DBE-B0F3-03BD2D454129}">
    <text>Dette er ikke inkludert de to sambandene som ble omdefinert fra båt til ferje fra 2024. Av kontraktsmessige årsaker kan dette beregnes først fra 2026.</text>
  </threadedComment>
  <threadedComment ref="BC14" dT="2025-05-22T14:59:14.27" personId="{596BEB0F-2D37-4459-8CEB-5D9892067256}" id="{F731CB59-910E-4784-BA95-6EDF561A693A}">
    <text>Nettokontrakt, fylket gir et lite tilskudd pr år</text>
  </threadedComment>
  <threadedComment ref="S16" dT="2025-05-22T14:26:38.36" personId="{596BEB0F-2D37-4459-8CEB-5D9892067256}" id="{2313F84C-DFF0-4370-8107-02C1E210A1A8}">
    <text>Gratisferge-kompensasjon gis til fylket på overordnet nivå. Det når Skyss via utvidet ramme for fylkeskommunale bevilgninger</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C272-8419-4ABB-BAC3-F2C7D6787B79}">
  <sheetPr>
    <tabColor rgb="FF92D050"/>
  </sheetPr>
  <dimension ref="A1:CD46"/>
  <sheetViews>
    <sheetView tabSelected="1" workbookViewId="0">
      <pane xSplit="2" ySplit="3" topLeftCell="BK4" activePane="bottomRight" state="frozen"/>
      <selection activeCell="C45" sqref="C45"/>
      <selection pane="topRight" activeCell="C45" sqref="C45"/>
      <selection pane="bottomLeft" activeCell="C45" sqref="C45"/>
      <selection pane="bottomRight" activeCell="BX36" sqref="BX36"/>
    </sheetView>
  </sheetViews>
  <sheetFormatPr baseColWidth="10" defaultColWidth="11.3984375" defaultRowHeight="12" x14ac:dyDescent="0.3"/>
  <cols>
    <col min="1" max="1" width="3.3984375" style="4" customWidth="1"/>
    <col min="2" max="2" width="31.296875" style="19" customWidth="1"/>
    <col min="3" max="3" width="14.09765625" style="34" customWidth="1"/>
    <col min="4" max="4" width="11.8984375" style="34" customWidth="1"/>
    <col min="5" max="5" width="13.8984375" style="34" customWidth="1"/>
    <col min="6" max="6" width="12.8984375" style="34" customWidth="1"/>
    <col min="7" max="7" width="12.3984375" style="34" customWidth="1"/>
    <col min="8" max="8" width="15.8984375" style="34" customWidth="1"/>
    <col min="9" max="9" width="15.59765625" style="34" customWidth="1"/>
    <col min="10" max="10" width="11.8984375" style="34" customWidth="1"/>
    <col min="11" max="11" width="13.59765625" style="34" customWidth="1"/>
    <col min="12" max="12" width="11.3984375" style="34" customWidth="1"/>
    <col min="13" max="13" width="12.8984375" style="34" customWidth="1"/>
    <col min="14" max="15" width="11.8984375" style="34" customWidth="1"/>
    <col min="16" max="16" width="13.09765625" style="34" customWidth="1"/>
    <col min="17" max="17" width="11.8984375" style="34" customWidth="1"/>
    <col min="18" max="18" width="12.09765625" style="34" customWidth="1"/>
    <col min="19" max="19" width="11.59765625" style="34" customWidth="1"/>
    <col min="20" max="20" width="12.09765625" style="34" customWidth="1"/>
    <col min="21" max="21" width="15.296875" style="34" customWidth="1"/>
    <col min="22" max="22" width="13.8984375" style="34" customWidth="1"/>
    <col min="23" max="23" width="12.8984375" style="34" customWidth="1"/>
    <col min="24" max="24" width="12.69921875" style="34" bestFit="1" customWidth="1"/>
    <col min="25" max="25" width="12.8984375" style="34" customWidth="1"/>
    <col min="26" max="26" width="12.09765625" style="34" customWidth="1"/>
    <col min="27" max="27" width="11.8984375" style="34" customWidth="1"/>
    <col min="28" max="28" width="12.09765625" style="34" customWidth="1"/>
    <col min="29" max="29" width="13.8984375" style="34" customWidth="1"/>
    <col min="30" max="30" width="11.8984375" style="34" customWidth="1"/>
    <col min="31" max="31" width="12.09765625" style="34" customWidth="1"/>
    <col min="32" max="32" width="11.59765625" style="34" customWidth="1"/>
    <col min="33" max="33" width="12.09765625" style="34" customWidth="1"/>
    <col min="34" max="34" width="14.09765625" style="34" customWidth="1"/>
    <col min="35" max="37" width="12.69921875" style="34" bestFit="1" customWidth="1"/>
    <col min="38" max="39" width="12.09765625" style="34" customWidth="1"/>
    <col min="40" max="40" width="11.8984375" style="34" customWidth="1"/>
    <col min="41" max="41" width="12.09765625" style="34" customWidth="1"/>
    <col min="42" max="42" width="13.09765625" style="34" customWidth="1"/>
    <col min="43" max="43" width="11.8984375" style="34" customWidth="1"/>
    <col min="44" max="46" width="12.09765625" style="34" customWidth="1"/>
    <col min="47" max="47" width="14.09765625" style="34" customWidth="1"/>
    <col min="48" max="50" width="12.69921875" style="34" bestFit="1" customWidth="1"/>
    <col min="51" max="52" width="12.09765625" style="34" customWidth="1"/>
    <col min="53" max="53" width="11.8984375" style="34" customWidth="1"/>
    <col min="54" max="54" width="12.09765625" style="34" customWidth="1"/>
    <col min="55" max="55" width="13.09765625" style="34" customWidth="1"/>
    <col min="56" max="56" width="11.8984375" style="34" customWidth="1"/>
    <col min="57" max="57" width="12.09765625" style="34" customWidth="1"/>
    <col min="58" max="58" width="11.59765625" style="34" customWidth="1"/>
    <col min="59" max="59" width="12.09765625" style="34" customWidth="1"/>
    <col min="60" max="60" width="14.09765625" style="34" customWidth="1"/>
    <col min="61" max="63" width="12.69921875" style="34" bestFit="1" customWidth="1"/>
    <col min="64" max="65" width="11.3984375" style="34" bestFit="1" customWidth="1"/>
    <col min="66" max="66" width="12.69921875" style="34" bestFit="1" customWidth="1"/>
    <col min="67" max="67" width="11.296875" style="34" customWidth="1"/>
    <col min="68" max="68" width="15.5" style="4" customWidth="1"/>
    <col min="69" max="73" width="11.3984375" style="4"/>
    <col min="74" max="75" width="13.69921875" style="4" customWidth="1"/>
    <col min="76" max="76" width="15" style="4" customWidth="1"/>
    <col min="77" max="77" width="12.8984375" style="4" customWidth="1"/>
    <col min="78" max="79" width="11.3984375" style="4"/>
    <col min="80" max="80" width="13.69921875" style="4" customWidth="1"/>
    <col min="81" max="16384" width="11.3984375" style="4"/>
  </cols>
  <sheetData>
    <row r="1" spans="1:82" ht="18.5" x14ac:dyDescent="0.45">
      <c r="B1" s="231" t="s">
        <v>108</v>
      </c>
      <c r="D1" s="232"/>
      <c r="E1" s="232"/>
      <c r="F1" s="232"/>
      <c r="G1" s="232"/>
      <c r="H1" s="232"/>
      <c r="I1" s="232"/>
      <c r="J1" s="232"/>
      <c r="K1" s="232"/>
      <c r="L1" s="232"/>
      <c r="M1" s="232"/>
      <c r="N1" s="232"/>
      <c r="O1" s="232"/>
      <c r="P1" s="232">
        <v>1000</v>
      </c>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row>
    <row r="2" spans="1:82" s="233" customFormat="1" x14ac:dyDescent="0.3">
      <c r="A2" s="318" t="s">
        <v>0</v>
      </c>
      <c r="B2" s="320" t="s">
        <v>1</v>
      </c>
      <c r="C2" s="316">
        <v>2019</v>
      </c>
      <c r="D2" s="316"/>
      <c r="E2" s="316"/>
      <c r="F2" s="316"/>
      <c r="G2" s="316"/>
      <c r="H2" s="316"/>
      <c r="I2" s="316"/>
      <c r="J2" s="316"/>
      <c r="K2" s="316"/>
      <c r="L2" s="316"/>
      <c r="M2" s="316"/>
      <c r="N2" s="316"/>
      <c r="O2" s="317"/>
      <c r="P2" s="322">
        <v>2020</v>
      </c>
      <c r="Q2" s="316"/>
      <c r="R2" s="316"/>
      <c r="S2" s="316"/>
      <c r="T2" s="316"/>
      <c r="U2" s="316"/>
      <c r="V2" s="316"/>
      <c r="W2" s="316"/>
      <c r="X2" s="316"/>
      <c r="Y2" s="316"/>
      <c r="Z2" s="316"/>
      <c r="AA2" s="316"/>
      <c r="AB2" s="317"/>
      <c r="AC2" s="316">
        <v>2021</v>
      </c>
      <c r="AD2" s="316"/>
      <c r="AE2" s="316"/>
      <c r="AF2" s="316"/>
      <c r="AG2" s="316"/>
      <c r="AH2" s="316"/>
      <c r="AI2" s="316"/>
      <c r="AJ2" s="316"/>
      <c r="AK2" s="316"/>
      <c r="AL2" s="316"/>
      <c r="AM2" s="316"/>
      <c r="AN2" s="316"/>
      <c r="AO2" s="317"/>
      <c r="AP2" s="316">
        <v>2022</v>
      </c>
      <c r="AQ2" s="316"/>
      <c r="AR2" s="316"/>
      <c r="AS2" s="316"/>
      <c r="AT2" s="316"/>
      <c r="AU2" s="316"/>
      <c r="AV2" s="316"/>
      <c r="AW2" s="316"/>
      <c r="AX2" s="316"/>
      <c r="AY2" s="316"/>
      <c r="AZ2" s="316"/>
      <c r="BA2" s="316"/>
      <c r="BB2" s="316"/>
      <c r="BC2" s="316">
        <v>2023</v>
      </c>
      <c r="BD2" s="316"/>
      <c r="BE2" s="316"/>
      <c r="BF2" s="316"/>
      <c r="BG2" s="316"/>
      <c r="BH2" s="316"/>
      <c r="BI2" s="316"/>
      <c r="BJ2" s="316"/>
      <c r="BK2" s="316"/>
      <c r="BL2" s="316"/>
      <c r="BM2" s="316"/>
      <c r="BN2" s="316"/>
      <c r="BO2" s="317"/>
      <c r="BP2" s="315">
        <v>2024</v>
      </c>
      <c r="BQ2" s="315"/>
      <c r="BR2" s="315"/>
      <c r="BS2" s="315"/>
      <c r="BT2" s="315"/>
      <c r="BU2" s="315"/>
      <c r="BV2" s="315"/>
      <c r="BW2" s="315"/>
      <c r="BX2" s="315"/>
      <c r="BY2" s="315"/>
      <c r="BZ2" s="315"/>
      <c r="CA2" s="315"/>
      <c r="CB2" s="315"/>
      <c r="CC2" s="315"/>
      <c r="CD2" s="306"/>
    </row>
    <row r="3" spans="1:82" s="235" customFormat="1" ht="26.25" customHeight="1" thickBot="1" x14ac:dyDescent="0.35">
      <c r="A3" s="319"/>
      <c r="B3" s="321"/>
      <c r="C3" s="110" t="s">
        <v>199</v>
      </c>
      <c r="D3" s="110" t="s">
        <v>3</v>
      </c>
      <c r="E3" s="110" t="s">
        <v>4</v>
      </c>
      <c r="F3" s="64" t="s">
        <v>194</v>
      </c>
      <c r="G3" s="110" t="s">
        <v>5</v>
      </c>
      <c r="H3" s="110" t="s">
        <v>195</v>
      </c>
      <c r="I3" s="110" t="s">
        <v>196</v>
      </c>
      <c r="J3" s="110" t="s">
        <v>197</v>
      </c>
      <c r="K3" s="110" t="s">
        <v>198</v>
      </c>
      <c r="L3" s="110" t="s">
        <v>7</v>
      </c>
      <c r="M3" s="110" t="s">
        <v>59</v>
      </c>
      <c r="N3" s="110" t="s">
        <v>94</v>
      </c>
      <c r="O3" s="234" t="s">
        <v>8</v>
      </c>
      <c r="P3" s="110" t="s">
        <v>199</v>
      </c>
      <c r="Q3" s="110" t="s">
        <v>3</v>
      </c>
      <c r="R3" s="110" t="s">
        <v>4</v>
      </c>
      <c r="S3" s="64" t="s">
        <v>194</v>
      </c>
      <c r="T3" s="110" t="s">
        <v>5</v>
      </c>
      <c r="U3" s="110" t="s">
        <v>195</v>
      </c>
      <c r="V3" s="110" t="s">
        <v>196</v>
      </c>
      <c r="W3" s="110" t="s">
        <v>197</v>
      </c>
      <c r="X3" s="110" t="s">
        <v>198</v>
      </c>
      <c r="Y3" s="110" t="s">
        <v>7</v>
      </c>
      <c r="Z3" s="110" t="s">
        <v>59</v>
      </c>
      <c r="AA3" s="110" t="s">
        <v>94</v>
      </c>
      <c r="AB3" s="234" t="s">
        <v>8</v>
      </c>
      <c r="AC3" s="110" t="s">
        <v>199</v>
      </c>
      <c r="AD3" s="110" t="s">
        <v>3</v>
      </c>
      <c r="AE3" s="110" t="s">
        <v>4</v>
      </c>
      <c r="AF3" s="64" t="s">
        <v>194</v>
      </c>
      <c r="AG3" s="110" t="s">
        <v>5</v>
      </c>
      <c r="AH3" s="110" t="s">
        <v>195</v>
      </c>
      <c r="AI3" s="110" t="s">
        <v>196</v>
      </c>
      <c r="AJ3" s="110" t="s">
        <v>197</v>
      </c>
      <c r="AK3" s="110" t="s">
        <v>198</v>
      </c>
      <c r="AL3" s="110" t="s">
        <v>7</v>
      </c>
      <c r="AM3" s="110" t="s">
        <v>59</v>
      </c>
      <c r="AN3" s="110" t="s">
        <v>94</v>
      </c>
      <c r="AO3" s="234" t="s">
        <v>8</v>
      </c>
      <c r="AP3" s="110" t="s">
        <v>199</v>
      </c>
      <c r="AQ3" s="110" t="s">
        <v>3</v>
      </c>
      <c r="AR3" s="110" t="s">
        <v>4</v>
      </c>
      <c r="AS3" s="64" t="s">
        <v>194</v>
      </c>
      <c r="AT3" s="110" t="s">
        <v>5</v>
      </c>
      <c r="AU3" s="110" t="s">
        <v>195</v>
      </c>
      <c r="AV3" s="110" t="s">
        <v>196</v>
      </c>
      <c r="AW3" s="110" t="s">
        <v>197</v>
      </c>
      <c r="AX3" s="110" t="s">
        <v>198</v>
      </c>
      <c r="AY3" s="110" t="s">
        <v>7</v>
      </c>
      <c r="AZ3" s="110" t="s">
        <v>59</v>
      </c>
      <c r="BA3" s="110" t="s">
        <v>94</v>
      </c>
      <c r="BB3" s="234" t="s">
        <v>8</v>
      </c>
      <c r="BC3" s="110" t="s">
        <v>199</v>
      </c>
      <c r="BD3" s="110" t="s">
        <v>3</v>
      </c>
      <c r="BE3" s="110" t="s">
        <v>4</v>
      </c>
      <c r="BF3" s="64" t="s">
        <v>194</v>
      </c>
      <c r="BG3" s="110" t="s">
        <v>5</v>
      </c>
      <c r="BH3" s="110" t="s">
        <v>195</v>
      </c>
      <c r="BI3" s="110" t="s">
        <v>196</v>
      </c>
      <c r="BJ3" s="110" t="s">
        <v>197</v>
      </c>
      <c r="BK3" s="110" t="s">
        <v>198</v>
      </c>
      <c r="BL3" s="110" t="s">
        <v>7</v>
      </c>
      <c r="BM3" s="110" t="s">
        <v>59</v>
      </c>
      <c r="BN3" s="110" t="s">
        <v>94</v>
      </c>
      <c r="BO3" s="234" t="s">
        <v>8</v>
      </c>
      <c r="BP3" s="294" t="s">
        <v>199</v>
      </c>
      <c r="BQ3" s="294" t="s">
        <v>3</v>
      </c>
      <c r="BR3" s="294" t="s">
        <v>4</v>
      </c>
      <c r="BS3" s="64" t="s">
        <v>194</v>
      </c>
      <c r="BT3" s="294" t="s">
        <v>212</v>
      </c>
      <c r="BU3" s="294" t="s">
        <v>213</v>
      </c>
      <c r="BV3" s="294" t="s">
        <v>6</v>
      </c>
      <c r="BW3" s="294" t="s">
        <v>196</v>
      </c>
      <c r="BX3" s="294" t="s">
        <v>197</v>
      </c>
      <c r="BY3" s="294" t="s">
        <v>198</v>
      </c>
      <c r="BZ3" s="294" t="s">
        <v>7</v>
      </c>
      <c r="CA3" s="294" t="s">
        <v>214</v>
      </c>
      <c r="CB3" s="294" t="s">
        <v>94</v>
      </c>
      <c r="CC3" s="294" t="s">
        <v>8</v>
      </c>
      <c r="CD3" s="307" t="s">
        <v>215</v>
      </c>
    </row>
    <row r="4" spans="1:82" x14ac:dyDescent="0.3">
      <c r="A4" s="4">
        <v>1</v>
      </c>
      <c r="B4" s="236" t="s">
        <v>9</v>
      </c>
      <c r="C4" s="237">
        <v>122218293.02525622</v>
      </c>
      <c r="D4" s="291">
        <v>5763529</v>
      </c>
      <c r="E4" s="238">
        <f>21652674</f>
        <v>21652674</v>
      </c>
      <c r="F4" s="238">
        <v>11962948</v>
      </c>
      <c r="G4" s="239">
        <v>20271447</v>
      </c>
      <c r="H4" s="240">
        <v>13231957</v>
      </c>
      <c r="I4" s="240">
        <v>21626263</v>
      </c>
      <c r="J4" s="291">
        <v>47800516.400281101</v>
      </c>
      <c r="K4" s="241">
        <v>28610746.685556803</v>
      </c>
      <c r="L4" s="237">
        <v>18678575</v>
      </c>
      <c r="M4" s="241">
        <v>18416031</v>
      </c>
      <c r="N4" s="237">
        <v>15828560</v>
      </c>
      <c r="O4" s="242">
        <v>13184600</v>
      </c>
      <c r="P4" s="237">
        <v>124279508.61901945</v>
      </c>
      <c r="Q4" s="237">
        <v>5549545</v>
      </c>
      <c r="R4" s="240">
        <v>19624375</v>
      </c>
      <c r="S4" s="243">
        <v>11702983</v>
      </c>
      <c r="T4" s="237">
        <v>19684522</v>
      </c>
      <c r="U4" s="240">
        <v>12996274</v>
      </c>
      <c r="V4" s="240">
        <v>23089448</v>
      </c>
      <c r="W4" s="279">
        <v>47770605</v>
      </c>
      <c r="X4" s="237">
        <v>29846659.609000001</v>
      </c>
      <c r="Y4" s="244">
        <v>18948988</v>
      </c>
      <c r="Z4" s="237">
        <v>18308551</v>
      </c>
      <c r="AA4" s="237">
        <v>15164896</v>
      </c>
      <c r="AB4" s="242">
        <v>13496844</v>
      </c>
      <c r="AC4" s="237">
        <v>129137223.63164397</v>
      </c>
      <c r="AD4" s="237">
        <v>5733821</v>
      </c>
      <c r="AE4" s="237">
        <v>20960528</v>
      </c>
      <c r="AF4" s="237">
        <v>10280950</v>
      </c>
      <c r="AG4" s="237">
        <v>19780124</v>
      </c>
      <c r="AH4" s="237">
        <v>12680898</v>
      </c>
      <c r="AI4" s="245">
        <v>24342599</v>
      </c>
      <c r="AJ4" s="280">
        <v>43672538</v>
      </c>
      <c r="AK4" s="237">
        <v>30938349.111600004</v>
      </c>
      <c r="AL4" s="237">
        <v>19639903</v>
      </c>
      <c r="AM4" s="237">
        <v>18228686</v>
      </c>
      <c r="AN4" s="237">
        <v>13921740</v>
      </c>
      <c r="AO4" s="246">
        <v>13704395</v>
      </c>
      <c r="AP4" s="237">
        <v>128800000.00000001</v>
      </c>
      <c r="AQ4" s="237">
        <v>5728118</v>
      </c>
      <c r="AR4" s="237">
        <v>21129827</v>
      </c>
      <c r="AS4" s="237">
        <v>10477909</v>
      </c>
      <c r="AT4" s="237">
        <v>19704268</v>
      </c>
      <c r="AU4" s="237">
        <v>12540464</v>
      </c>
      <c r="AV4" s="237">
        <v>24020337</v>
      </c>
      <c r="AW4" s="280">
        <v>49794104</v>
      </c>
      <c r="AX4" s="280">
        <v>30662137.732999999</v>
      </c>
      <c r="AY4" s="237">
        <v>18993246</v>
      </c>
      <c r="AZ4" s="237">
        <v>17564685</v>
      </c>
      <c r="BA4" s="237">
        <v>14092067</v>
      </c>
      <c r="BB4" s="246">
        <v>13143478</v>
      </c>
      <c r="BC4" s="238">
        <v>127203302.47969422</v>
      </c>
      <c r="BD4" s="238">
        <v>5225139</v>
      </c>
      <c r="BE4" s="238">
        <v>21915452</v>
      </c>
      <c r="BF4" s="238">
        <v>10550432</v>
      </c>
      <c r="BG4" s="238">
        <v>19796428</v>
      </c>
      <c r="BH4" s="238">
        <v>12320279</v>
      </c>
      <c r="BI4" s="238">
        <v>24764972</v>
      </c>
      <c r="BJ4" s="282">
        <v>51253105</v>
      </c>
      <c r="BK4" s="282">
        <v>30948567.280000005</v>
      </c>
      <c r="BL4" s="238">
        <v>19197770</v>
      </c>
      <c r="BM4" s="238">
        <v>17141571</v>
      </c>
      <c r="BN4" s="238">
        <v>14039921</v>
      </c>
      <c r="BO4" s="246">
        <v>14382132</v>
      </c>
      <c r="BP4" s="291">
        <f>[1]Sammenstilling_buss!BP4+[1]Sammenstilling_Skinnegående!W4+[1]Sammenstilling_Skinnegående!X4+'[1]Sammenstilling_Båt&amp;Hurtigbåt'!H4</f>
        <v>126611906.37031841</v>
      </c>
      <c r="BQ4" s="291">
        <f>[1]Sammenstilling_buss!BQ4+'[1]Sammenstilling_Båt&amp;Hurtigbåt'!N4</f>
        <v>5738594</v>
      </c>
      <c r="BR4" s="291">
        <f>[1]Sammenstilling_buss!BR4</f>
        <v>22368707</v>
      </c>
      <c r="BS4" s="291">
        <f>[1]Sammenstilling_buss!BS4</f>
        <v>10138726</v>
      </c>
      <c r="BT4" s="291">
        <f>[1]Sammenstilling_buss!CC4</f>
        <v>10519428</v>
      </c>
      <c r="BU4" s="291">
        <f>[1]Sammenstilling_buss!BT4+'[1]Sammenstilling_Båt&amp;Hurtigbåt'!BS4</f>
        <v>9266438</v>
      </c>
      <c r="BV4" s="291">
        <f>[1]Sammenstilling_buss!BU4</f>
        <v>11857793</v>
      </c>
      <c r="BW4" s="291">
        <f>[1]Sammenstilling_buss!BV4+'[1]Sammenstilling_Båt&amp;Hurtigbåt'!AV4</f>
        <v>23677458</v>
      </c>
      <c r="BX4" s="291">
        <f>[1]Sammenstilling_buss!BW4+'[1]Sammenstilling_Båt&amp;Hurtigbåt'!T4+[1]Sammenstilling_Skinnegående!Y4</f>
        <v>50611122</v>
      </c>
      <c r="BY4" s="291">
        <f>[1]Sammenstilling_buss!BX4+'[1]Sammenstilling_Båt&amp;Hurtigbåt'!AJ4+[1]Sammenstilling_Skinnegående!Z4</f>
        <v>31647034.079999998</v>
      </c>
      <c r="BZ4" s="291">
        <f>[1]Sammenstilling_buss!BY4+'[1]Sammenstilling_Båt&amp;Hurtigbåt'!AP4</f>
        <v>19185091</v>
      </c>
      <c r="CA4" s="314">
        <f>[1]Sammenstilling_buss!BZ4+'[1]Sammenstilling_Båt&amp;Hurtigbåt'!BB4</f>
        <v>17764116</v>
      </c>
      <c r="CB4" s="314">
        <f>[1]Sammenstilling_buss!CA4+'[1]Sammenstilling_Båt&amp;Hurtigbåt'!BH4</f>
        <v>14201845</v>
      </c>
      <c r="CC4" s="291">
        <f>[1]Sammenstilling_buss!CB4+'[1]Sammenstilling_Båt&amp;Hurtigbåt'!BN4</f>
        <v>14513289</v>
      </c>
      <c r="CD4" s="308">
        <f>BT4+BU4</f>
        <v>19785866</v>
      </c>
    </row>
    <row r="5" spans="1:82" x14ac:dyDescent="0.3">
      <c r="A5" s="4">
        <v>2</v>
      </c>
      <c r="B5" s="247" t="s">
        <v>10</v>
      </c>
      <c r="C5" s="237">
        <v>5657000000</v>
      </c>
      <c r="D5" s="291">
        <v>238214139</v>
      </c>
      <c r="E5" s="238" t="s">
        <v>29</v>
      </c>
      <c r="F5" s="238">
        <v>514406764</v>
      </c>
      <c r="G5" s="239">
        <v>773372092</v>
      </c>
      <c r="H5" s="240">
        <f>45.67*H4</f>
        <v>604303476.19000006</v>
      </c>
      <c r="I5" s="240">
        <v>1061362788</v>
      </c>
      <c r="J5" s="237"/>
      <c r="K5" s="241">
        <v>1417287790.527056</v>
      </c>
      <c r="L5" s="237">
        <v>743644720</v>
      </c>
      <c r="M5" s="241">
        <v>891061691.72000003</v>
      </c>
      <c r="N5" s="237">
        <v>673310483</v>
      </c>
      <c r="O5" s="246">
        <v>611023476</v>
      </c>
      <c r="P5" s="237">
        <v>5614348002.8806648</v>
      </c>
      <c r="Q5" s="237">
        <v>228660884</v>
      </c>
      <c r="R5" s="240">
        <v>617202987</v>
      </c>
      <c r="S5" s="243">
        <v>503228269</v>
      </c>
      <c r="T5" s="237">
        <v>760389321</v>
      </c>
      <c r="U5" s="240">
        <f>45.67*U4</f>
        <v>593539833.58000004</v>
      </c>
      <c r="V5" s="240">
        <v>1102281625</v>
      </c>
      <c r="W5" s="279">
        <v>2260635339</v>
      </c>
      <c r="X5" s="237">
        <v>1465982666.6820002</v>
      </c>
      <c r="Y5" s="239">
        <v>834161793</v>
      </c>
      <c r="Z5" s="237">
        <v>886225091.72000003</v>
      </c>
      <c r="AA5" s="237">
        <v>642343096</v>
      </c>
      <c r="AB5" s="246">
        <v>636031472</v>
      </c>
      <c r="AC5" s="237">
        <v>5876629650.3157921</v>
      </c>
      <c r="AD5" s="237">
        <v>235109523</v>
      </c>
      <c r="AE5" s="237">
        <v>678200512</v>
      </c>
      <c r="AF5" s="237">
        <v>442080850</v>
      </c>
      <c r="AG5" s="237">
        <v>766747816</v>
      </c>
      <c r="AH5" s="237">
        <v>579136611.65999997</v>
      </c>
      <c r="AI5" s="245">
        <v>1184717986</v>
      </c>
      <c r="AJ5" s="280">
        <v>2087284545</v>
      </c>
      <c r="AK5" s="237">
        <v>1524516234.997</v>
      </c>
      <c r="AL5" s="237">
        <v>863448032</v>
      </c>
      <c r="AM5" s="237">
        <v>875328578.72000003</v>
      </c>
      <c r="AN5" s="237">
        <v>592758055</v>
      </c>
      <c r="AO5" s="246">
        <v>644333512</v>
      </c>
      <c r="AP5" s="237">
        <v>5868636608.8705187</v>
      </c>
      <c r="AQ5" s="237">
        <v>229671205</v>
      </c>
      <c r="AR5" s="237">
        <v>687265662</v>
      </c>
      <c r="AS5" s="237">
        <v>450550087</v>
      </c>
      <c r="AT5" s="237">
        <v>764780517</v>
      </c>
      <c r="AU5" s="237">
        <v>587028994</v>
      </c>
      <c r="AV5" s="237">
        <v>1136593382</v>
      </c>
      <c r="AW5" s="280">
        <v>2441511941</v>
      </c>
      <c r="AX5" s="280">
        <v>1511065121.0309999</v>
      </c>
      <c r="AY5" s="237">
        <v>834995124</v>
      </c>
      <c r="AZ5" s="237">
        <v>844116617.72000003</v>
      </c>
      <c r="BA5" s="237">
        <v>591745862</v>
      </c>
      <c r="BB5" s="246">
        <v>620201120</v>
      </c>
      <c r="BC5" s="238">
        <v>5804828948.5463934</v>
      </c>
      <c r="BD5" s="238">
        <v>227793932</v>
      </c>
      <c r="BE5" s="238">
        <v>680682837</v>
      </c>
      <c r="BF5" s="238">
        <v>453668576</v>
      </c>
      <c r="BG5" s="238">
        <v>768098277</v>
      </c>
      <c r="BH5" s="238">
        <v>581437252</v>
      </c>
      <c r="BI5" s="238">
        <v>1098697694</v>
      </c>
      <c r="BJ5" s="282">
        <v>2729200218</v>
      </c>
      <c r="BK5" s="282">
        <v>1463476468.4800005</v>
      </c>
      <c r="BL5" s="238">
        <v>843994180</v>
      </c>
      <c r="BM5" s="238">
        <v>821456900.72000003</v>
      </c>
      <c r="BN5" s="238">
        <v>594364995</v>
      </c>
      <c r="BO5" s="246">
        <v>670348139</v>
      </c>
      <c r="BP5" s="295">
        <f>[1]Sammenstilling_buss!BP5+[1]Sammenstilling_Skinnegående!W5+[1]Sammenstilling_Skinnegående!X5+'[1]Sammenstilling_Båt&amp;Hurtigbåt'!H5</f>
        <v>5765645719.5595856</v>
      </c>
      <c r="BQ5" s="291">
        <f>[1]Sammenstilling_buss!BQ5+'[1]Sammenstilling_Båt&amp;Hurtigbåt'!N5</f>
        <v>228123551</v>
      </c>
      <c r="BR5" s="291">
        <f>[1]Sammenstilling_buss!BR5</f>
        <v>691491751</v>
      </c>
      <c r="BS5" s="295">
        <f>[1]Sammenstilling_buss!BS5</f>
        <v>435965218</v>
      </c>
      <c r="BT5" s="291">
        <f>[1]Sammenstilling_buss!CC5</f>
        <v>378699408</v>
      </c>
      <c r="BU5" s="291">
        <f>[1]Sammenstilling_buss!BT5+'[1]Sammenstilling_Båt&amp;Hurtigbåt'!BS5</f>
        <v>348140589</v>
      </c>
      <c r="BV5" s="291">
        <f>[1]Sammenstilling_buss!BU5</f>
        <v>555167986</v>
      </c>
      <c r="BW5" s="291">
        <f>[1]Sammenstilling_buss!BV5+'[1]Sammenstilling_Båt&amp;Hurtigbåt'!AV5</f>
        <v>1126850192</v>
      </c>
      <c r="BX5" s="291">
        <f>[1]Sammenstilling_buss!BW5+'[1]Sammenstilling_Båt&amp;Hurtigbåt'!T5+[1]Sammenstilling_Skinnegående!Y5</f>
        <v>2328992798</v>
      </c>
      <c r="BY5" s="291">
        <f>[1]Sammenstilling_buss!BX5+'[1]Sammenstilling_Båt&amp;Hurtigbåt'!AJ5+[1]Sammenstilling_Skinnegående!Z5</f>
        <v>1504781191.0600002</v>
      </c>
      <c r="BZ5" s="291">
        <f>[1]Sammenstilling_buss!BY5+'[1]Sammenstilling_Båt&amp;Hurtigbåt'!AP5</f>
        <v>843436304</v>
      </c>
      <c r="CA5" s="314">
        <f>[1]Sammenstilling_buss!BZ5+'[1]Sammenstilling_Båt&amp;Hurtigbåt'!BB5</f>
        <v>864855733</v>
      </c>
      <c r="CB5" s="314">
        <f>[1]Sammenstilling_buss!CA5+'[1]Sammenstilling_Båt&amp;Hurtigbåt'!BH5</f>
        <v>607122686</v>
      </c>
      <c r="CC5" s="291">
        <f>[1]Sammenstilling_buss!CB5+'[1]Sammenstilling_Båt&amp;Hurtigbåt'!BN5</f>
        <v>675626419</v>
      </c>
      <c r="CD5" s="308">
        <f t="shared" ref="CD5:CD22" si="0">BT5+BU5</f>
        <v>726839997</v>
      </c>
    </row>
    <row r="6" spans="1:82" x14ac:dyDescent="0.3">
      <c r="A6" s="4">
        <v>3</v>
      </c>
      <c r="B6" s="248" t="s">
        <v>11</v>
      </c>
      <c r="C6" s="237">
        <v>356225082.01797539</v>
      </c>
      <c r="D6" s="291">
        <v>1651721</v>
      </c>
      <c r="E6" s="238">
        <v>11299106</v>
      </c>
      <c r="F6" s="238">
        <v>10192372</v>
      </c>
      <c r="G6" s="239">
        <v>16640161</v>
      </c>
      <c r="H6" s="240">
        <v>12625254</v>
      </c>
      <c r="I6" s="240">
        <v>28077222</v>
      </c>
      <c r="J6" s="237"/>
      <c r="K6" s="241">
        <v>42563894</v>
      </c>
      <c r="L6" s="237">
        <v>19041103</v>
      </c>
      <c r="M6" s="241">
        <v>6512523</v>
      </c>
      <c r="N6" s="237">
        <v>8502272</v>
      </c>
      <c r="O6" s="246">
        <v>13073587</v>
      </c>
      <c r="P6" s="237">
        <v>216826904.9472999</v>
      </c>
      <c r="Q6" s="237">
        <v>1255973</v>
      </c>
      <c r="R6" s="240">
        <v>7529929</v>
      </c>
      <c r="S6" s="243">
        <f>6906859+134660</f>
        <v>7041519</v>
      </c>
      <c r="T6" s="237">
        <v>11881819</v>
      </c>
      <c r="U6" s="240">
        <v>8832030</v>
      </c>
      <c r="V6" s="240">
        <v>21156061</v>
      </c>
      <c r="W6" s="279">
        <v>17593600</v>
      </c>
      <c r="X6" s="237">
        <v>30025672</v>
      </c>
      <c r="Y6" s="239">
        <v>14445095</v>
      </c>
      <c r="Z6" s="237">
        <v>4464151</v>
      </c>
      <c r="AA6" s="237">
        <v>5894474</v>
      </c>
      <c r="AB6" s="246">
        <v>10876357</v>
      </c>
      <c r="AC6" s="237">
        <v>223177422.48560974</v>
      </c>
      <c r="AD6" s="237">
        <v>927953</v>
      </c>
      <c r="AE6" s="237">
        <v>8417101</v>
      </c>
      <c r="AF6" s="237">
        <v>6741987</v>
      </c>
      <c r="AG6" s="237">
        <v>11489997</v>
      </c>
      <c r="AH6" s="237">
        <v>9125123</v>
      </c>
      <c r="AI6" s="245">
        <v>24334968</v>
      </c>
      <c r="AJ6" s="280">
        <v>60886000</v>
      </c>
      <c r="AK6" s="237">
        <v>34571925.509999998</v>
      </c>
      <c r="AL6" s="237">
        <v>14852422</v>
      </c>
      <c r="AM6" s="237">
        <v>4295612</v>
      </c>
      <c r="AN6" s="237">
        <v>6179008</v>
      </c>
      <c r="AO6" s="246">
        <v>12342405</v>
      </c>
      <c r="AP6" s="237">
        <v>304810583.32804537</v>
      </c>
      <c r="AQ6" s="237">
        <v>1036625</v>
      </c>
      <c r="AR6" s="237">
        <v>9764547</v>
      </c>
      <c r="AS6" s="237">
        <v>7362125</v>
      </c>
      <c r="AT6" s="237">
        <v>14496271</v>
      </c>
      <c r="AU6" s="237">
        <v>11222273</v>
      </c>
      <c r="AV6" s="237">
        <v>30305195</v>
      </c>
      <c r="AW6" s="280">
        <v>78523000</v>
      </c>
      <c r="AX6" s="280">
        <v>42840505</v>
      </c>
      <c r="AY6" s="237">
        <v>18373665</v>
      </c>
      <c r="AZ6" s="237">
        <v>5190958</v>
      </c>
      <c r="BA6" s="237">
        <v>6829656</v>
      </c>
      <c r="BB6" s="246">
        <v>15254066</v>
      </c>
      <c r="BC6" s="238">
        <v>343274250.04503179</v>
      </c>
      <c r="BD6" s="238">
        <v>1576489</v>
      </c>
      <c r="BE6" s="238">
        <v>10717629</v>
      </c>
      <c r="BF6" s="238">
        <v>8837379</v>
      </c>
      <c r="BG6" s="238">
        <v>16316074</v>
      </c>
      <c r="BH6" s="238">
        <v>12054762</v>
      </c>
      <c r="BI6" s="238">
        <v>35900588</v>
      </c>
      <c r="BJ6" s="282">
        <v>89121000</v>
      </c>
      <c r="BK6" s="282">
        <v>48905148</v>
      </c>
      <c r="BL6" s="238">
        <v>20899661.5</v>
      </c>
      <c r="BM6" s="238">
        <v>6807993</v>
      </c>
      <c r="BN6" s="238">
        <v>7846224</v>
      </c>
      <c r="BO6" s="246">
        <v>18077840</v>
      </c>
      <c r="BP6" s="295">
        <f>[1]Sammenstilling_buss!BP6+[1]Sammenstilling_Skinnegående!W6+[1]Sammenstilling_Skinnegående!X6+'[1]Sammenstilling_Båt&amp;Hurtigbåt'!H6</f>
        <v>351393549.09355849</v>
      </c>
      <c r="BQ6" s="291">
        <f>[1]Sammenstilling_buss!BQ6+'[1]Sammenstilling_Båt&amp;Hurtigbåt'!N6</f>
        <v>1534149</v>
      </c>
      <c r="BR6" s="291">
        <f>[1]Sammenstilling_buss!BR6</f>
        <v>11085614</v>
      </c>
      <c r="BS6" s="295">
        <f>[1]Sammenstilling_buss!BS6</f>
        <v>8484803</v>
      </c>
      <c r="BT6" s="291">
        <f>[1]Sammenstilling_buss!CC6</f>
        <v>10063700</v>
      </c>
      <c r="BU6" s="291">
        <f>[1]Sammenstilling_buss!BT6+'[1]Sammenstilling_Båt&amp;Hurtigbåt'!BS6</f>
        <v>6773195</v>
      </c>
      <c r="BV6" s="291">
        <f>[1]Sammenstilling_buss!BU6</f>
        <v>12302741</v>
      </c>
      <c r="BW6" s="291">
        <f>[1]Sammenstilling_buss!BV6+'[1]Sammenstilling_Båt&amp;Hurtigbåt'!AV6</f>
        <v>35831319</v>
      </c>
      <c r="BX6" s="291">
        <f>[1]Sammenstilling_buss!BW6+'[1]Sammenstilling_Båt&amp;Hurtigbåt'!T6+[1]Sammenstilling_Skinnegående!Y6</f>
        <v>90929854</v>
      </c>
      <c r="BY6" s="291">
        <f>[1]Sammenstilling_buss!BX6+'[1]Sammenstilling_Båt&amp;Hurtigbåt'!AJ6+[1]Sammenstilling_Skinnegående!Z6</f>
        <v>51686325.122407913</v>
      </c>
      <c r="BZ6" s="291">
        <f>[1]Sammenstilling_buss!BY6+'[1]Sammenstilling_Båt&amp;Hurtigbåt'!AP6</f>
        <v>21890186.225000001</v>
      </c>
      <c r="CA6" s="314">
        <f>[1]Sammenstilling_buss!BZ6+'[1]Sammenstilling_Båt&amp;Hurtigbåt'!BB6</f>
        <v>6521097</v>
      </c>
      <c r="CB6" s="314">
        <f>[1]Sammenstilling_buss!CA6+'[1]Sammenstilling_Båt&amp;Hurtigbåt'!BH6</f>
        <v>7981640</v>
      </c>
      <c r="CC6" s="291">
        <f>[1]Sammenstilling_buss!CB6+'[1]Sammenstilling_Båt&amp;Hurtigbåt'!BN6</f>
        <v>18487897</v>
      </c>
      <c r="CD6" s="308">
        <f t="shared" si="0"/>
        <v>16836895</v>
      </c>
    </row>
    <row r="7" spans="1:82" x14ac:dyDescent="0.3">
      <c r="A7" s="4">
        <v>4</v>
      </c>
      <c r="B7" s="249" t="s">
        <v>12</v>
      </c>
      <c r="C7" s="237">
        <v>2364973782.1685405</v>
      </c>
      <c r="D7" s="291">
        <v>49325343</v>
      </c>
      <c r="E7" s="238">
        <f>91374000+90309024</f>
        <v>181683024</v>
      </c>
      <c r="F7" s="238">
        <v>68963335</v>
      </c>
      <c r="G7" s="239">
        <v>166522950.69999999</v>
      </c>
      <c r="H7" s="240">
        <f>H6*11.46</f>
        <v>144685410.84</v>
      </c>
      <c r="I7" s="240">
        <v>169090417</v>
      </c>
      <c r="J7" s="237"/>
      <c r="K7" s="241">
        <v>482677243.15181839</v>
      </c>
      <c r="L7" s="237">
        <v>177408109</v>
      </c>
      <c r="M7" s="241">
        <v>62791161.059234507</v>
      </c>
      <c r="N7" s="237">
        <v>102559505</v>
      </c>
      <c r="O7" s="246">
        <v>181493029</v>
      </c>
      <c r="P7" s="237">
        <v>1313479974.856775</v>
      </c>
      <c r="Q7" s="237">
        <v>35915372</v>
      </c>
      <c r="R7" s="240">
        <v>81882629</v>
      </c>
      <c r="S7" s="243">
        <v>57469446</v>
      </c>
      <c r="T7" s="237">
        <v>116635290.79999998</v>
      </c>
      <c r="U7" s="240">
        <f>U6*14.1</f>
        <v>124531623</v>
      </c>
      <c r="V7" s="240">
        <v>162671978</v>
      </c>
      <c r="W7" s="279">
        <v>419359930</v>
      </c>
      <c r="X7" s="237">
        <v>338560696.94770229</v>
      </c>
      <c r="Y7" s="239">
        <v>135548853</v>
      </c>
      <c r="Z7" s="237">
        <v>42994697.731166467</v>
      </c>
      <c r="AA7" s="237">
        <v>75172175</v>
      </c>
      <c r="AB7" s="246">
        <v>147485845</v>
      </c>
      <c r="AC7" s="237">
        <v>1397871801.1993449</v>
      </c>
      <c r="AD7" s="237">
        <v>30215025</v>
      </c>
      <c r="AE7" s="237">
        <v>90938676</v>
      </c>
      <c r="AF7" s="237">
        <v>55170668</v>
      </c>
      <c r="AG7" s="237">
        <v>112133722</v>
      </c>
      <c r="AH7" s="237">
        <v>125363959</v>
      </c>
      <c r="AI7" s="245">
        <v>158319819</v>
      </c>
      <c r="AJ7" s="280">
        <v>488308234</v>
      </c>
      <c r="AK7" s="237">
        <v>386856454.61297989</v>
      </c>
      <c r="AL7" s="237">
        <v>139285331</v>
      </c>
      <c r="AM7" s="237">
        <v>41142492.614823818</v>
      </c>
      <c r="AN7" s="237">
        <v>76824960</v>
      </c>
      <c r="AO7" s="246">
        <v>153303353</v>
      </c>
      <c r="AP7" s="237">
        <v>1422000000</v>
      </c>
      <c r="AQ7" s="237">
        <v>32815525</v>
      </c>
      <c r="AR7" s="237">
        <v>105247093</v>
      </c>
      <c r="AS7" s="237">
        <v>66954694</v>
      </c>
      <c r="AT7" s="237">
        <v>143300692.5</v>
      </c>
      <c r="AU7" s="237">
        <v>139436996</v>
      </c>
      <c r="AV7" s="237">
        <v>193328180</v>
      </c>
      <c r="AW7" s="280">
        <v>574196869</v>
      </c>
      <c r="AX7" s="280">
        <v>354316662.05727577</v>
      </c>
      <c r="AY7" s="237">
        <v>173048423.90000001</v>
      </c>
      <c r="AZ7" s="237">
        <v>48980582.556500606</v>
      </c>
      <c r="BA7" s="237">
        <v>82033290</v>
      </c>
      <c r="BB7" s="246">
        <v>155693573</v>
      </c>
      <c r="BC7" s="238">
        <v>1561722033.543895</v>
      </c>
      <c r="BD7" s="238">
        <v>35601295</v>
      </c>
      <c r="BE7" s="238">
        <v>114646625</v>
      </c>
      <c r="BF7" s="238">
        <v>69665328</v>
      </c>
      <c r="BG7" s="238">
        <v>161573727.40000001</v>
      </c>
      <c r="BH7" s="238">
        <v>138019045</v>
      </c>
      <c r="BI7" s="238">
        <v>211495379</v>
      </c>
      <c r="BJ7" s="282">
        <v>666733872</v>
      </c>
      <c r="BK7" s="282">
        <v>544641700.49099994</v>
      </c>
      <c r="BL7" s="238">
        <v>189815195.95000002</v>
      </c>
      <c r="BM7" s="238">
        <v>63199727</v>
      </c>
      <c r="BN7" s="238">
        <v>93732285</v>
      </c>
      <c r="BO7" s="246">
        <v>170483164</v>
      </c>
      <c r="BP7" s="295">
        <f>[1]Sammenstilling_buss!BP7+[1]Sammenstilling_Skinnegående!W7+[1]Sammenstilling_Skinnegående!X7+'[1]Sammenstilling_Båt&amp;Hurtigbåt'!H7</f>
        <v>1627918493.8402836</v>
      </c>
      <c r="BQ7" s="291">
        <f>[1]Sammenstilling_buss!BQ7+'[1]Sammenstilling_Båt&amp;Hurtigbåt'!N7</f>
        <v>37414221</v>
      </c>
      <c r="BR7" s="291">
        <f>[1]Sammenstilling_buss!BR7</f>
        <v>119261412</v>
      </c>
      <c r="BS7" s="295">
        <f>[1]Sammenstilling_buss!BS7</f>
        <v>67878424</v>
      </c>
      <c r="BT7" s="291">
        <f>[1]Sammenstilling_buss!CC7</f>
        <v>71452270</v>
      </c>
      <c r="BU7" s="291">
        <f>[1]Sammenstilling_buss!BT7+'[1]Sammenstilling_Båt&amp;Hurtigbåt'!BS7</f>
        <v>110800792</v>
      </c>
      <c r="BV7" s="291">
        <f>[1]Sammenstilling_buss!BU7</f>
        <v>140251247</v>
      </c>
      <c r="BW7" s="291">
        <f>[1]Sammenstilling_buss!BV7+'[1]Sammenstilling_Båt&amp;Hurtigbåt'!AV7</f>
        <v>214194301</v>
      </c>
      <c r="BX7" s="291">
        <f>[1]Sammenstilling_buss!BW7+'[1]Sammenstilling_Båt&amp;Hurtigbåt'!T7+[1]Sammenstilling_Skinnegående!Y7</f>
        <v>666957435</v>
      </c>
      <c r="BY7" s="291">
        <f>[1]Sammenstilling_buss!BX7+'[1]Sammenstilling_Båt&amp;Hurtigbåt'!AJ7+[1]Sammenstilling_Skinnegående!Z7</f>
        <v>576461488.12528312</v>
      </c>
      <c r="BZ7" s="291">
        <f>[1]Sammenstilling_buss!BY7+'[1]Sammenstilling_Båt&amp;Hurtigbåt'!AP7</f>
        <v>188947471.8725</v>
      </c>
      <c r="CA7" s="314">
        <f>[1]Sammenstilling_buss!BZ7+'[1]Sammenstilling_Båt&amp;Hurtigbåt'!BB7</f>
        <v>59974045</v>
      </c>
      <c r="CB7" s="314">
        <f>[1]Sammenstilling_buss!CA7+'[1]Sammenstilling_Båt&amp;Hurtigbåt'!BH7</f>
        <v>95833940</v>
      </c>
      <c r="CC7" s="291">
        <f>[1]Sammenstilling_buss!CB7+'[1]Sammenstilling_Båt&amp;Hurtigbåt'!BN7</f>
        <v>170140969</v>
      </c>
      <c r="CD7" s="308">
        <f t="shared" si="0"/>
        <v>182253062</v>
      </c>
    </row>
    <row r="8" spans="1:82" x14ac:dyDescent="0.3">
      <c r="A8" s="4">
        <v>5</v>
      </c>
      <c r="B8" s="247" t="s">
        <v>13</v>
      </c>
      <c r="C8" s="237">
        <v>10727716510.487736</v>
      </c>
      <c r="D8" s="291" t="s">
        <v>27</v>
      </c>
      <c r="E8" s="238" t="s">
        <v>29</v>
      </c>
      <c r="F8" s="238">
        <v>765628672</v>
      </c>
      <c r="G8" s="239">
        <v>1637001290</v>
      </c>
      <c r="H8" s="240">
        <f>H4*9502</f>
        <v>125730055414</v>
      </c>
      <c r="I8" s="240">
        <v>1061362788</v>
      </c>
      <c r="J8" s="237"/>
      <c r="K8" s="241">
        <v>2493131910.3901486</v>
      </c>
      <c r="L8" s="237">
        <v>1137962399</v>
      </c>
      <c r="M8" s="241">
        <v>1503061691.72</v>
      </c>
      <c r="N8" s="237"/>
      <c r="O8" s="246">
        <v>106102796</v>
      </c>
      <c r="P8" s="237">
        <v>11959565287.310072</v>
      </c>
      <c r="Q8" s="250" t="s">
        <v>27</v>
      </c>
      <c r="R8" s="240">
        <f>R5*1.5</f>
        <v>925804480.5</v>
      </c>
      <c r="S8" s="243">
        <f>64*S4</f>
        <v>748990912</v>
      </c>
      <c r="T8" s="237">
        <v>1685918588</v>
      </c>
      <c r="U8" s="240">
        <f>U4*9502</f>
        <v>123490595548</v>
      </c>
      <c r="V8" s="240">
        <v>1102281625</v>
      </c>
      <c r="W8" s="279">
        <v>4003298843.1400013</v>
      </c>
      <c r="X8" s="237">
        <v>2594388469.21</v>
      </c>
      <c r="Y8" s="239">
        <v>1154607668</v>
      </c>
      <c r="Z8" s="237">
        <v>1494570771.72</v>
      </c>
      <c r="AA8" s="237">
        <v>0</v>
      </c>
      <c r="AB8" s="246">
        <v>118717152</v>
      </c>
      <c r="AC8" s="237">
        <v>12366400381.842501</v>
      </c>
      <c r="AD8" s="237" t="s">
        <v>27</v>
      </c>
      <c r="AE8" s="237">
        <v>1017300768</v>
      </c>
      <c r="AF8" s="237">
        <v>657980800</v>
      </c>
      <c r="AG8" s="237">
        <v>1728734504</v>
      </c>
      <c r="AH8" s="237">
        <v>120493892796</v>
      </c>
      <c r="AI8" s="245">
        <v>1184717986</v>
      </c>
      <c r="AJ8" s="280">
        <v>4219946006</v>
      </c>
      <c r="AK8" s="237">
        <v>2566268686.7489805</v>
      </c>
      <c r="AL8" s="237">
        <v>1196753483</v>
      </c>
      <c r="AM8" s="237">
        <v>1483393044.72</v>
      </c>
      <c r="AN8" s="237">
        <v>0</v>
      </c>
      <c r="AO8" s="246">
        <v>118717152</v>
      </c>
      <c r="AP8" s="237">
        <v>12336000000</v>
      </c>
      <c r="AQ8" s="237" t="s">
        <v>27</v>
      </c>
      <c r="AR8" s="237">
        <v>1030898493</v>
      </c>
      <c r="AS8" s="237">
        <v>670586176</v>
      </c>
      <c r="AT8" s="237">
        <v>1731666888</v>
      </c>
      <c r="AU8" s="237">
        <v>119159488928</v>
      </c>
      <c r="AV8" s="237">
        <v>1136593382</v>
      </c>
      <c r="AW8" s="280">
        <v>4862539761.7849998</v>
      </c>
      <c r="AX8" s="280">
        <v>2544338507.3309999</v>
      </c>
      <c r="AY8" s="237">
        <v>1157307406</v>
      </c>
      <c r="AZ8" s="237">
        <v>1430049021.72</v>
      </c>
      <c r="BA8" s="237" t="s">
        <v>210</v>
      </c>
      <c r="BB8" s="246">
        <v>118717152</v>
      </c>
      <c r="BC8" s="238">
        <v>12213346387.167723</v>
      </c>
      <c r="BD8" s="238" t="s">
        <v>27</v>
      </c>
      <c r="BE8" s="238">
        <v>1021024255.5</v>
      </c>
      <c r="BF8" s="238">
        <v>675227648</v>
      </c>
      <c r="BG8" s="238">
        <v>1738118088</v>
      </c>
      <c r="BH8" s="238">
        <v>117067291058</v>
      </c>
      <c r="BI8" s="238">
        <v>1098697694</v>
      </c>
      <c r="BJ8" s="282">
        <v>5275278309</v>
      </c>
      <c r="BK8" s="282">
        <v>2566884974.0370007</v>
      </c>
      <c r="BL8" s="238">
        <v>1169783370</v>
      </c>
      <c r="BM8" s="238">
        <v>1393169246.72</v>
      </c>
      <c r="BN8" s="238">
        <v>0</v>
      </c>
      <c r="BO8" s="246">
        <v>117135059</v>
      </c>
      <c r="BP8" s="295">
        <f>[1]Sammenstilling_buss!BP8+[1]Sammenstilling_Skinnegående!W8+[1]Sammenstilling_Skinnegående!X8+'[1]Sammenstilling_Båt&amp;Hurtigbåt'!H8</f>
        <v>12262624902.157421</v>
      </c>
      <c r="BQ8" s="291">
        <f>[1]Sammenstilling_buss!BQ8+'[1]Sammenstilling_Båt&amp;Hurtigbåt'!N8</f>
        <v>0</v>
      </c>
      <c r="BR8" s="291">
        <f>[1]Sammenstilling_buss!BR8</f>
        <v>1037237626.5</v>
      </c>
      <c r="BS8" s="295">
        <f>[1]Sammenstilling_buss!BS8</f>
        <v>648878464</v>
      </c>
      <c r="BT8" s="291">
        <f>[1]Sammenstilling_buss!CC8</f>
        <v>945000000</v>
      </c>
      <c r="BU8" s="291">
        <f>[1]Sammenstilling_buss!BT8+'[1]Sammenstilling_Båt&amp;Hurtigbåt'!BS8</f>
        <v>805707812</v>
      </c>
      <c r="BV8" s="291">
        <f>[1]Sammenstilling_buss!BU8</f>
        <v>115316160212</v>
      </c>
      <c r="BW8" s="291">
        <f>[1]Sammenstilling_buss!BV8+'[1]Sammenstilling_Båt&amp;Hurtigbåt'!AV8</f>
        <v>1126850192</v>
      </c>
      <c r="BX8" s="291">
        <f>[1]Sammenstilling_buss!BW8+'[1]Sammenstilling_Båt&amp;Hurtigbåt'!T8+[1]Sammenstilling_Skinnegående!Y8</f>
        <v>4673117548</v>
      </c>
      <c r="BY8" s="291">
        <f>[1]Sammenstilling_buss!BX8+'[1]Sammenstilling_Båt&amp;Hurtigbåt'!AJ8+[1]Sammenstilling_Skinnegående!Z8</f>
        <v>2633147221.1100001</v>
      </c>
      <c r="BZ8" s="291">
        <f>[1]Sammenstilling_buss!BY8+'[1]Sammenstilling_Båt&amp;Hurtigbåt'!AP8</f>
        <v>1169009951</v>
      </c>
      <c r="CA8" s="314">
        <f>[1]Sammenstilling_buss!BZ8+'[1]Sammenstilling_Båt&amp;Hurtigbåt'!BB8</f>
        <v>1458392849</v>
      </c>
      <c r="CB8" s="314">
        <f>[1]Sammenstilling_buss!CA8+'[1]Sammenstilling_Båt&amp;Hurtigbåt'!BH8</f>
        <v>0</v>
      </c>
      <c r="CC8" s="291">
        <f>[1]Sammenstilling_buss!CB8+'[1]Sammenstilling_Båt&amp;Hurtigbåt'!BN8</f>
        <v>230850672</v>
      </c>
      <c r="CD8" s="308">
        <f t="shared" si="0"/>
        <v>1750707812</v>
      </c>
    </row>
    <row r="9" spans="1:82" x14ac:dyDescent="0.3">
      <c r="A9" s="4">
        <v>6</v>
      </c>
      <c r="B9" s="247" t="s">
        <v>14</v>
      </c>
      <c r="C9" s="237">
        <v>140551036.97904462</v>
      </c>
      <c r="D9" s="291">
        <v>6572505.6999999993</v>
      </c>
      <c r="E9" s="238" t="s">
        <v>29</v>
      </c>
      <c r="F9" s="238">
        <v>13757390.199999999</v>
      </c>
      <c r="G9" s="239">
        <v>23312164.049999997</v>
      </c>
      <c r="H9" s="240">
        <f>H4*1.15</f>
        <v>15216750.549999999</v>
      </c>
      <c r="I9" s="240">
        <v>21626263</v>
      </c>
      <c r="J9" s="237"/>
      <c r="K9" s="241">
        <v>32681667.728040319</v>
      </c>
      <c r="L9" s="237">
        <v>21480361.249999996</v>
      </c>
      <c r="M9" s="241">
        <v>21116031</v>
      </c>
      <c r="N9" s="237"/>
      <c r="O9" s="246">
        <v>15078052.549999999</v>
      </c>
      <c r="P9" s="237">
        <v>142921434.91187236</v>
      </c>
      <c r="Q9" s="237">
        <v>6326155.1499999994</v>
      </c>
      <c r="R9" s="240">
        <f>R4*1.15</f>
        <v>22568031.25</v>
      </c>
      <c r="S9" s="243">
        <f>+S4*1.15</f>
        <v>13458430.449999999</v>
      </c>
      <c r="T9" s="237">
        <v>22637199.849999998</v>
      </c>
      <c r="U9" s="240">
        <f>U4*1.15</f>
        <v>14945715.1</v>
      </c>
      <c r="V9" s="240">
        <v>23089448</v>
      </c>
      <c r="W9" s="279">
        <v>54936195.75</v>
      </c>
      <c r="X9" s="237">
        <v>34121835.895000003</v>
      </c>
      <c r="Y9" s="239">
        <v>21791336.199999999</v>
      </c>
      <c r="Z9" s="237">
        <v>20992429</v>
      </c>
      <c r="AA9" s="237">
        <v>0</v>
      </c>
      <c r="AB9" s="246">
        <v>15436772.699999999</v>
      </c>
      <c r="AC9" s="237">
        <v>148507807.17639053</v>
      </c>
      <c r="AD9" s="237">
        <v>6540397.5499999998</v>
      </c>
      <c r="AE9" s="237">
        <v>24104607.199999999</v>
      </c>
      <c r="AF9" s="237">
        <v>11823092.5</v>
      </c>
      <c r="AG9" s="237">
        <v>22747143</v>
      </c>
      <c r="AH9" s="237">
        <v>14583032.699999999</v>
      </c>
      <c r="AI9" s="245">
        <v>24342599</v>
      </c>
      <c r="AJ9" s="280">
        <v>50223418.700000003</v>
      </c>
      <c r="AK9" s="237">
        <v>35373043.597890005</v>
      </c>
      <c r="AL9" s="237">
        <v>22585888.449999999</v>
      </c>
      <c r="AM9" s="237">
        <v>20911323.349999998</v>
      </c>
      <c r="AN9" s="237">
        <v>0</v>
      </c>
      <c r="AO9" s="246">
        <v>15675456.35</v>
      </c>
      <c r="AP9" s="237">
        <v>148120000</v>
      </c>
      <c r="AQ9" s="237">
        <v>6534345.6499999994</v>
      </c>
      <c r="AR9" s="237">
        <v>24299301.049999997</v>
      </c>
      <c r="AS9" s="237">
        <v>12049595.35</v>
      </c>
      <c r="AT9" s="237">
        <v>22659907.75</v>
      </c>
      <c r="AU9" s="237">
        <v>14421533.6</v>
      </c>
      <c r="AV9" s="237">
        <v>24020337</v>
      </c>
      <c r="AW9" s="280">
        <v>57263219.599999994</v>
      </c>
      <c r="AX9" s="280">
        <v>35058985.883000001</v>
      </c>
      <c r="AY9" s="237">
        <v>21842232.899999999</v>
      </c>
      <c r="AZ9" s="237">
        <v>20149680.899999999</v>
      </c>
      <c r="BA9" s="237" t="s">
        <v>210</v>
      </c>
      <c r="BB9" s="246">
        <v>15031607.199999999</v>
      </c>
      <c r="BC9" s="238">
        <v>146283797.85164833</v>
      </c>
      <c r="BD9" s="238">
        <v>5947768.9499999993</v>
      </c>
      <c r="BE9" s="238">
        <v>25202769.799999997</v>
      </c>
      <c r="BF9" s="238">
        <v>12132996.799999999</v>
      </c>
      <c r="BG9" s="238">
        <v>22765891.75</v>
      </c>
      <c r="BH9" s="238">
        <v>14168320.85</v>
      </c>
      <c r="BI9" s="238">
        <v>24764972</v>
      </c>
      <c r="BJ9" s="282">
        <v>58941070.749999993</v>
      </c>
      <c r="BK9" s="282">
        <v>35393202.758500002</v>
      </c>
      <c r="BL9" s="238">
        <v>22077435.5</v>
      </c>
      <c r="BM9" s="238">
        <v>19663831.349999998</v>
      </c>
      <c r="BN9" s="238">
        <v>0</v>
      </c>
      <c r="BO9" s="246">
        <v>16456681.049999999</v>
      </c>
      <c r="BP9" s="295">
        <f>[1]Sammenstilling_buss!BP9+[1]Sammenstilling_Skinnegående!W9+[1]Sammenstilling_Skinnegående!X9+'[1]Sammenstilling_Båt&amp;Hurtigbåt'!H9</f>
        <v>145603692.32586616</v>
      </c>
      <c r="BQ9" s="291">
        <f>[1]Sammenstilling_buss!BQ9+'[1]Sammenstilling_Båt&amp;Hurtigbåt'!N9</f>
        <v>6461224</v>
      </c>
      <c r="BR9" s="291">
        <f>[1]Sammenstilling_buss!BR9</f>
        <v>25724013.049999997</v>
      </c>
      <c r="BS9" s="295">
        <f>[1]Sammenstilling_buss!BS9</f>
        <v>11659534</v>
      </c>
      <c r="BT9" s="291">
        <f>[1]Sammenstilling_buss!CC9</f>
        <v>12097342</v>
      </c>
      <c r="BU9" s="291">
        <f>[1]Sammenstilling_buss!BT9+'[1]Sammenstilling_Båt&amp;Hurtigbåt'!BS9</f>
        <v>10656404</v>
      </c>
      <c r="BV9" s="291">
        <f>[1]Sammenstilling_buss!BU9</f>
        <v>13906214</v>
      </c>
      <c r="BW9" s="291">
        <f>[1]Sammenstilling_buss!BV9+'[1]Sammenstilling_Båt&amp;Hurtigbåt'!AV9</f>
        <v>23677458</v>
      </c>
      <c r="BX9" s="291">
        <f>[1]Sammenstilling_buss!BW9+'[1]Sammenstilling_Båt&amp;Hurtigbåt'!T9+[1]Sammenstilling_Skinnegående!Y9</f>
        <v>58202790.29999999</v>
      </c>
      <c r="BY9" s="291">
        <f>[1]Sammenstilling_buss!BX9+'[1]Sammenstilling_Båt&amp;Hurtigbåt'!AJ9+[1]Sammenstilling_Skinnegående!Z9</f>
        <v>36343836.083999999</v>
      </c>
      <c r="BZ9" s="291">
        <f>[1]Sammenstilling_buss!BY9+'[1]Sammenstilling_Båt&amp;Hurtigbåt'!AP9</f>
        <v>22062854.649999999</v>
      </c>
      <c r="CA9" s="314">
        <f>[1]Sammenstilling_buss!BZ9+'[1]Sammenstilling_Båt&amp;Hurtigbåt'!BB9</f>
        <v>20382662</v>
      </c>
      <c r="CB9" s="314">
        <f>[1]Sammenstilling_buss!CA9+'[1]Sammenstilling_Båt&amp;Hurtigbåt'!BH9</f>
        <v>0</v>
      </c>
      <c r="CC9" s="291">
        <f>[1]Sammenstilling_buss!CB9+'[1]Sammenstilling_Båt&amp;Hurtigbåt'!BN9</f>
        <v>16607631</v>
      </c>
      <c r="CD9" s="308">
        <f t="shared" si="0"/>
        <v>22753746</v>
      </c>
    </row>
    <row r="10" spans="1:82" x14ac:dyDescent="0.3">
      <c r="A10" s="4">
        <v>7</v>
      </c>
      <c r="B10" s="104" t="s">
        <v>15</v>
      </c>
      <c r="C10" s="34">
        <v>2953364000</v>
      </c>
      <c r="D10" s="34">
        <f>230000000+'[1]Sammenstilling_Båt&amp;Hurtigbåt'!I10</f>
        <v>397142007</v>
      </c>
      <c r="E10" s="35">
        <v>709600000</v>
      </c>
      <c r="F10" s="35">
        <v>409800000</v>
      </c>
      <c r="G10" s="38"/>
      <c r="H10" s="36">
        <f>434299998</f>
        <v>434299998</v>
      </c>
      <c r="I10" s="36">
        <v>886714253</v>
      </c>
      <c r="K10" s="37">
        <v>796735000</v>
      </c>
      <c r="L10" s="34">
        <f>258218000+182767000</f>
        <v>440985000</v>
      </c>
      <c r="M10" s="34">
        <v>505019000</v>
      </c>
      <c r="N10" s="34">
        <v>755864005</v>
      </c>
      <c r="O10" s="40">
        <v>348813706.13980246</v>
      </c>
      <c r="P10" s="39">
        <v>5244076000</v>
      </c>
      <c r="Q10" s="34">
        <v>417595984</v>
      </c>
      <c r="R10" s="34">
        <v>704362600</v>
      </c>
      <c r="S10" s="4">
        <v>450800000</v>
      </c>
      <c r="T10" s="34">
        <v>618507202</v>
      </c>
      <c r="U10" s="36">
        <v>456215983</v>
      </c>
      <c r="V10" s="36">
        <v>1046629152</v>
      </c>
      <c r="W10" s="102">
        <v>1857031605</v>
      </c>
      <c r="X10" s="37">
        <v>851344000</v>
      </c>
      <c r="Y10" s="34">
        <v>470651988</v>
      </c>
      <c r="Z10" s="34">
        <v>626654000</v>
      </c>
      <c r="AA10" s="34">
        <v>822929690</v>
      </c>
      <c r="AB10" s="40">
        <v>363344577.39857966</v>
      </c>
      <c r="AC10" s="34">
        <v>5244076000</v>
      </c>
      <c r="AD10" s="34">
        <v>426662697</v>
      </c>
      <c r="AE10" s="34">
        <v>700112334</v>
      </c>
      <c r="AF10" s="34">
        <v>421800000</v>
      </c>
      <c r="AG10" s="34">
        <v>612890494</v>
      </c>
      <c r="AH10" s="34">
        <v>462100000</v>
      </c>
      <c r="AI10" s="34">
        <v>1138360008</v>
      </c>
      <c r="AJ10" s="34">
        <v>1373838267</v>
      </c>
      <c r="AK10" s="34">
        <v>861949000</v>
      </c>
      <c r="AL10" s="34">
        <v>465955000</v>
      </c>
      <c r="AM10" s="34">
        <v>557553000</v>
      </c>
      <c r="AN10" s="226">
        <v>823112702</v>
      </c>
      <c r="AO10" s="40">
        <v>368512632.05740738</v>
      </c>
      <c r="AP10" s="34">
        <v>4561070000</v>
      </c>
      <c r="AQ10" s="34">
        <v>537243565</v>
      </c>
      <c r="AR10" s="34">
        <v>804484013</v>
      </c>
      <c r="AS10" s="34">
        <v>485500000</v>
      </c>
      <c r="AT10" s="34">
        <v>641444722</v>
      </c>
      <c r="AU10" s="34">
        <v>472263000</v>
      </c>
      <c r="AV10" s="34">
        <v>1241650000</v>
      </c>
      <c r="AW10" s="34">
        <v>1843226641</v>
      </c>
      <c r="AX10" s="34">
        <v>896029000</v>
      </c>
      <c r="AY10" s="34">
        <v>489227305</v>
      </c>
      <c r="AZ10" s="34">
        <v>605097000</v>
      </c>
      <c r="BA10" s="34">
        <v>845129855</v>
      </c>
      <c r="BB10" s="40">
        <v>387641871.88380808</v>
      </c>
      <c r="BC10" s="34">
        <v>5100710000</v>
      </c>
      <c r="BD10" s="34">
        <v>535381399</v>
      </c>
      <c r="BE10" s="34">
        <v>857528458</v>
      </c>
      <c r="BF10" s="34">
        <v>558400000</v>
      </c>
      <c r="BG10" s="34">
        <v>652362799</v>
      </c>
      <c r="BH10" s="34">
        <v>580900000</v>
      </c>
      <c r="BI10" s="34">
        <v>1325974000</v>
      </c>
      <c r="BJ10" s="34">
        <v>1714736469</v>
      </c>
      <c r="BK10" s="34">
        <v>1098575000</v>
      </c>
      <c r="BL10" s="34">
        <v>564362001</v>
      </c>
      <c r="BM10" s="34">
        <v>628508282.57999992</v>
      </c>
      <c r="BN10" s="34">
        <v>970040850</v>
      </c>
      <c r="BO10" s="40">
        <v>537225588.6996516</v>
      </c>
      <c r="BP10" s="296">
        <f>[1]Sammenstilling_buss!BP10+[1]Sammenstilling_Skinnegående!W10+[1]Sammenstilling_Skinnegående!X10+'[1]Sammenstilling_Båt&amp;Hurtigbåt'!H10+(1744440354)</f>
        <v>5128641454.6720409</v>
      </c>
      <c r="BQ10" s="291">
        <f>[1]Sammenstilling_buss!BQ10+'[1]Sammenstilling_Båt&amp;Hurtigbåt'!N10</f>
        <v>505580947</v>
      </c>
      <c r="BR10" s="291">
        <f>[1]Sammenstilling_buss!BR10</f>
        <v>891229729</v>
      </c>
      <c r="BS10" s="295">
        <f>[1]Sammenstilling_buss!BS10</f>
        <v>560392000</v>
      </c>
      <c r="BT10" s="291">
        <f>[1]Sammenstilling_buss!CC10</f>
        <v>449462270</v>
      </c>
      <c r="BU10" s="291">
        <f>[1]Sammenstilling_buss!BT10+'[1]Sammenstilling_Båt&amp;Hurtigbåt'!BS10</f>
        <v>348363426</v>
      </c>
      <c r="BV10" s="291">
        <f>[1]Sammenstilling_buss!BU10</f>
        <v>530000000</v>
      </c>
      <c r="BW10" s="291">
        <f>[1]Sammenstilling_buss!BV10+'[1]Sammenstilling_Båt&amp;Hurtigbåt'!AV10</f>
        <v>1373197004</v>
      </c>
      <c r="BX10" s="291">
        <f>[1]Sammenstilling_buss!BW10+'[1]Sammenstilling_Båt&amp;Hurtigbåt'!AD10+[1]Sammenstilling_Skinnegående!Y10</f>
        <v>1768203522</v>
      </c>
      <c r="BY10" s="291">
        <f>[1]Sammenstilling_buss!BX10+'[1]Sammenstilling_Båt&amp;Hurtigbåt'!AJ10+[1]Sammenstilling_Skinnegående!Z10</f>
        <v>1289594044</v>
      </c>
      <c r="BZ10" s="291">
        <f>[1]Sammenstilling_buss!BY10+'[1]Sammenstilling_Båt&amp;Hurtigbåt'!AP10</f>
        <v>605862548.05293</v>
      </c>
      <c r="CA10" s="314">
        <f>[1]Sammenstilling_buss!BZ10+'[1]Sammenstilling_Båt&amp;Hurtigbåt'!BB10</f>
        <v>693870876</v>
      </c>
      <c r="CB10" s="314">
        <f>[1]Sammenstilling_buss!CA10+'[1]Sammenstilling_Båt&amp;Hurtigbåt'!BH10</f>
        <v>1094887604</v>
      </c>
      <c r="CC10" s="291">
        <f>[1]Sammenstilling_buss!CB10+'[1]Sammenstilling_Båt&amp;Hurtigbåt'!BN10</f>
        <v>580302263</v>
      </c>
      <c r="CD10" s="308">
        <f t="shared" si="0"/>
        <v>797825696</v>
      </c>
    </row>
    <row r="11" spans="1:82" x14ac:dyDescent="0.3">
      <c r="A11" s="4">
        <v>8</v>
      </c>
      <c r="B11" s="13" t="s">
        <v>16</v>
      </c>
      <c r="C11" s="34">
        <v>231742000</v>
      </c>
      <c r="D11" s="34">
        <v>0</v>
      </c>
      <c r="E11" s="35">
        <v>0</v>
      </c>
      <c r="F11" s="35">
        <v>49300000</v>
      </c>
      <c r="G11" s="38"/>
      <c r="H11" s="36">
        <v>0</v>
      </c>
      <c r="I11" s="36">
        <v>142179142</v>
      </c>
      <c r="K11" s="41">
        <v>0</v>
      </c>
      <c r="L11" s="34">
        <v>73000000</v>
      </c>
      <c r="M11" s="41"/>
      <c r="N11" s="34">
        <v>0</v>
      </c>
      <c r="O11" s="40">
        <v>36000000</v>
      </c>
      <c r="P11" s="39">
        <v>197729000</v>
      </c>
      <c r="R11" s="34">
        <v>0</v>
      </c>
      <c r="S11" s="4">
        <v>59400000</v>
      </c>
      <c r="T11" s="34">
        <v>50963243</v>
      </c>
      <c r="U11" s="36">
        <v>0</v>
      </c>
      <c r="V11" s="36">
        <v>216988542</v>
      </c>
      <c r="W11" s="102">
        <v>480593400</v>
      </c>
      <c r="X11" s="37">
        <v>0</v>
      </c>
      <c r="Y11" s="34">
        <v>74000000</v>
      </c>
      <c r="AA11" s="34">
        <v>0</v>
      </c>
      <c r="AB11" s="40">
        <v>50874000</v>
      </c>
      <c r="AC11" s="34">
        <v>197729000</v>
      </c>
      <c r="AE11" s="34" t="s">
        <v>30</v>
      </c>
      <c r="AF11" s="34">
        <v>38500000</v>
      </c>
      <c r="AG11" s="34">
        <v>56092800</v>
      </c>
      <c r="AH11" s="34">
        <v>0</v>
      </c>
      <c r="AI11" s="34">
        <v>329191389</v>
      </c>
      <c r="AJ11" s="34">
        <v>346127582</v>
      </c>
      <c r="AK11" s="34">
        <v>0</v>
      </c>
      <c r="AL11" s="34">
        <v>76000000</v>
      </c>
      <c r="AM11" s="34">
        <v>0</v>
      </c>
      <c r="AN11" s="226">
        <v>0</v>
      </c>
      <c r="AO11" s="40">
        <v>58115000</v>
      </c>
      <c r="AP11" s="34">
        <v>318916000</v>
      </c>
      <c r="AQ11" s="34" t="s">
        <v>30</v>
      </c>
      <c r="AR11" s="34" t="s">
        <v>30</v>
      </c>
      <c r="AS11" s="34">
        <v>38900000</v>
      </c>
      <c r="AT11" s="34">
        <v>60389278</v>
      </c>
      <c r="AU11" s="34" t="s">
        <v>30</v>
      </c>
      <c r="AV11" s="34">
        <v>312877030</v>
      </c>
      <c r="AW11" s="34">
        <v>318300000</v>
      </c>
      <c r="AX11" s="34" t="s">
        <v>30</v>
      </c>
      <c r="AY11" s="34">
        <v>77375000</v>
      </c>
      <c r="AZ11" s="34" t="s">
        <v>30</v>
      </c>
      <c r="BA11" s="34" t="s">
        <v>30</v>
      </c>
      <c r="BB11" s="40">
        <v>89300000</v>
      </c>
      <c r="BC11" s="34">
        <v>219630000</v>
      </c>
      <c r="BE11" s="34">
        <v>0</v>
      </c>
      <c r="BF11" s="34">
        <v>43400000</v>
      </c>
      <c r="BG11" s="34">
        <v>83880419</v>
      </c>
      <c r="BH11" s="34">
        <v>0</v>
      </c>
      <c r="BI11" s="34">
        <v>348142574</v>
      </c>
      <c r="BJ11" s="34">
        <v>366600000</v>
      </c>
      <c r="BL11" s="34">
        <v>80725000</v>
      </c>
      <c r="BM11" s="34">
        <v>0</v>
      </c>
      <c r="BN11" s="34">
        <v>0</v>
      </c>
      <c r="BO11" s="40">
        <v>112499999.99999999</v>
      </c>
      <c r="BP11" s="296">
        <f>[1]Sammenstilling_buss!BP11+[1]Sammenstilling_Skinnegående!W11+[1]Sammenstilling_Skinnegående!X11+'[1]Sammenstilling_Båt&amp;Hurtigbåt'!H11+43498114</f>
        <v>191398114</v>
      </c>
      <c r="BQ11" s="291">
        <f>[1]Sammenstilling_buss!BQ11+'[1]Sammenstilling_Båt&amp;Hurtigbåt'!N11</f>
        <v>0</v>
      </c>
      <c r="BR11" s="291">
        <f>[1]Sammenstilling_buss!BR11</f>
        <v>0</v>
      </c>
      <c r="BS11" s="295">
        <f>[1]Sammenstilling_buss!BS11</f>
        <v>47873000</v>
      </c>
      <c r="BT11" s="291">
        <f>[1]Sammenstilling_buss!CC11</f>
        <v>0</v>
      </c>
      <c r="BU11" s="291">
        <f>[1]Sammenstilling_buss!BT11+'[1]Sammenstilling_Båt&amp;Hurtigbåt'!BS11</f>
        <v>80052893</v>
      </c>
      <c r="BV11" s="291">
        <f>[1]Sammenstilling_buss!BU11</f>
        <v>0</v>
      </c>
      <c r="BW11" s="291">
        <f>[1]Sammenstilling_buss!BV11+'[1]Sammenstilling_Båt&amp;Hurtigbåt'!AV11</f>
        <v>350907530</v>
      </c>
      <c r="BX11" s="291">
        <f>[1]Sammenstilling_buss!BW11+'[1]Sammenstilling_Båt&amp;Hurtigbåt'!T11+[1]Sammenstilling_Skinnegående!Y11</f>
        <v>417699999</v>
      </c>
      <c r="BY11" s="291">
        <f>[1]Sammenstilling_buss!BX11+'[1]Sammenstilling_Båt&amp;Hurtigbåt'!AJ11+[1]Sammenstilling_Skinnegående!Z11</f>
        <v>0</v>
      </c>
      <c r="BZ11" s="291">
        <f>[1]Sammenstilling_buss!BY11+'[1]Sammenstilling_Båt&amp;Hurtigbåt'!AP11</f>
        <v>103403966.25280927</v>
      </c>
      <c r="CA11" s="314">
        <f>[1]Sammenstilling_buss!BZ11+'[1]Sammenstilling_Båt&amp;Hurtigbåt'!BB11</f>
        <v>0</v>
      </c>
      <c r="CB11" s="314">
        <f>[1]Sammenstilling_buss!CA11+'[1]Sammenstilling_Båt&amp;Hurtigbåt'!BH11</f>
        <v>0</v>
      </c>
      <c r="CC11" s="291">
        <f>[1]Sammenstilling_buss!CB11+'[1]Sammenstilling_Båt&amp;Hurtigbåt'!BN11</f>
        <v>119639347</v>
      </c>
      <c r="CD11" s="308">
        <f t="shared" si="0"/>
        <v>80052893</v>
      </c>
    </row>
    <row r="12" spans="1:82" x14ac:dyDescent="0.3">
      <c r="A12" s="4">
        <v>9</v>
      </c>
      <c r="B12" s="13" t="s">
        <v>17</v>
      </c>
      <c r="C12" s="34">
        <v>743708000</v>
      </c>
      <c r="D12" s="34">
        <v>0</v>
      </c>
      <c r="E12" s="35">
        <v>0</v>
      </c>
      <c r="F12" s="35"/>
      <c r="G12" s="38"/>
      <c r="H12" s="36">
        <v>49042165</v>
      </c>
      <c r="I12" s="36"/>
      <c r="K12" s="41">
        <v>0</v>
      </c>
      <c r="L12" s="34">
        <f>4628000+783182</f>
        <v>5411182</v>
      </c>
      <c r="M12" s="41"/>
      <c r="N12" s="34">
        <v>0</v>
      </c>
      <c r="O12" s="40">
        <v>9100000</v>
      </c>
      <c r="P12" s="39">
        <v>760883000</v>
      </c>
      <c r="Q12" s="34">
        <v>2900000</v>
      </c>
      <c r="R12" s="34">
        <v>62700000</v>
      </c>
      <c r="S12" s="4"/>
      <c r="T12" s="34">
        <v>81900000</v>
      </c>
      <c r="U12" s="36">
        <v>63852801</v>
      </c>
      <c r="V12" s="36">
        <v>140300000</v>
      </c>
      <c r="W12" s="102">
        <v>357800000</v>
      </c>
      <c r="X12" s="37">
        <v>0</v>
      </c>
      <c r="Y12" s="34">
        <f>4762149+46983092</f>
        <v>51745241</v>
      </c>
      <c r="Z12" s="34">
        <v>111300000</v>
      </c>
      <c r="AA12" s="34">
        <v>0</v>
      </c>
      <c r="AB12" s="40">
        <v>121700000</v>
      </c>
      <c r="AC12" s="34">
        <v>760883000</v>
      </c>
      <c r="AD12" s="34">
        <v>6149746</v>
      </c>
      <c r="AE12" s="34">
        <v>85200000</v>
      </c>
      <c r="AG12" s="34">
        <v>67100000</v>
      </c>
      <c r="AH12" s="34">
        <v>69315902</v>
      </c>
      <c r="AI12" s="34">
        <v>143642355</v>
      </c>
      <c r="AJ12" s="34">
        <v>347200000</v>
      </c>
      <c r="AK12" s="34">
        <v>0</v>
      </c>
      <c r="AL12" s="34">
        <v>61604853</v>
      </c>
      <c r="AM12" s="34">
        <v>44550000</v>
      </c>
      <c r="AN12" s="226">
        <v>0</v>
      </c>
      <c r="AO12" s="40">
        <v>91900000</v>
      </c>
      <c r="AP12" s="34">
        <v>878056000</v>
      </c>
      <c r="AQ12" s="34">
        <v>6149746</v>
      </c>
      <c r="AR12" s="34">
        <v>15800000</v>
      </c>
      <c r="AS12" s="34" t="s">
        <v>211</v>
      </c>
      <c r="AT12" s="34">
        <v>30489000</v>
      </c>
      <c r="AU12" s="34">
        <v>76479505</v>
      </c>
      <c r="AV12" s="34">
        <v>54200000</v>
      </c>
      <c r="AW12" s="34">
        <v>173737000</v>
      </c>
      <c r="AX12" s="34" t="s">
        <v>30</v>
      </c>
      <c r="AY12" s="34">
        <v>45450342</v>
      </c>
      <c r="AZ12" s="34">
        <v>62962000</v>
      </c>
      <c r="BA12" s="34" t="s">
        <v>30</v>
      </c>
      <c r="BB12" s="40">
        <v>48500000</v>
      </c>
      <c r="BC12" s="34">
        <v>904838089.94000006</v>
      </c>
      <c r="BD12" s="34">
        <v>0</v>
      </c>
      <c r="BE12" s="34">
        <v>0</v>
      </c>
      <c r="BG12" s="34">
        <v>20300000</v>
      </c>
      <c r="BH12" s="34">
        <v>89982232</v>
      </c>
      <c r="BI12" s="34">
        <v>59257645</v>
      </c>
      <c r="BJ12" s="34">
        <v>0</v>
      </c>
      <c r="BL12" s="34">
        <v>20020665</v>
      </c>
      <c r="BM12" s="34">
        <v>0</v>
      </c>
      <c r="BN12" s="34">
        <v>0</v>
      </c>
      <c r="BO12" s="40">
        <v>7000000</v>
      </c>
      <c r="BP12" s="296">
        <f>[1]Sammenstilling_buss!BP12+[1]Sammenstilling_Skinnegående!W12+[1]Sammenstilling_Skinnegående!X12+'[1]Sammenstilling_Båt&amp;Hurtigbåt'!H12+248709000</f>
        <v>1017909000</v>
      </c>
      <c r="BQ12" s="291">
        <f>[1]Sammenstilling_buss!BQ12+'[1]Sammenstilling_Båt&amp;Hurtigbåt'!N12</f>
        <v>0</v>
      </c>
      <c r="BR12" s="291">
        <f>[1]Sammenstilling_buss!BR12</f>
        <v>0</v>
      </c>
      <c r="BS12" s="295">
        <f>[1]Sammenstilling_buss!BS12</f>
        <v>0</v>
      </c>
      <c r="BT12" s="291">
        <f>[1]Sammenstilling_buss!CC12</f>
        <v>0</v>
      </c>
      <c r="BU12" s="291">
        <f>[1]Sammenstilling_buss!BT12+'[1]Sammenstilling_Båt&amp;Hurtigbåt'!BS12</f>
        <v>0</v>
      </c>
      <c r="BV12" s="291">
        <f>[1]Sammenstilling_buss!BU12</f>
        <v>80100008</v>
      </c>
      <c r="BW12" s="291">
        <f>[1]Sammenstilling_buss!BV12+'[1]Sammenstilling_Båt&amp;Hurtigbåt'!AV12</f>
        <v>0</v>
      </c>
      <c r="BX12" s="291">
        <f>[1]Sammenstilling_buss!BW12+'[1]Sammenstilling_Båt&amp;Hurtigbåt'!T12+[1]Sammenstilling_Skinnegående!Y12</f>
        <v>0</v>
      </c>
      <c r="BY12" s="291">
        <f>[1]Sammenstilling_buss!BX12+'[1]Sammenstilling_Båt&amp;Hurtigbåt'!AJ12+[1]Sammenstilling_Skinnegående!Z12</f>
        <v>0</v>
      </c>
      <c r="BZ12" s="291">
        <f>[1]Sammenstilling_buss!BY12+'[1]Sammenstilling_Båt&amp;Hurtigbåt'!AP12</f>
        <v>5198000</v>
      </c>
      <c r="CA12" s="314">
        <f>[1]Sammenstilling_buss!BZ12+'[1]Sammenstilling_Båt&amp;Hurtigbåt'!BB12</f>
        <v>0</v>
      </c>
      <c r="CB12" s="314">
        <f>[1]Sammenstilling_buss!CA12+'[1]Sammenstilling_Båt&amp;Hurtigbåt'!BH12</f>
        <v>0</v>
      </c>
      <c r="CC12" s="291">
        <f>[1]Sammenstilling_buss!CB12+'[1]Sammenstilling_Båt&amp;Hurtigbåt'!BN12</f>
        <v>15581000</v>
      </c>
      <c r="CD12" s="308"/>
    </row>
    <row r="13" spans="1:82" x14ac:dyDescent="0.3">
      <c r="A13" s="4">
        <v>10</v>
      </c>
      <c r="B13" s="105" t="s">
        <v>28</v>
      </c>
      <c r="C13" s="34">
        <f>SUM(C10:C12)</f>
        <v>3928814000</v>
      </c>
      <c r="D13" s="292">
        <f>D10</f>
        <v>397142007</v>
      </c>
      <c r="E13" s="34">
        <f t="shared" ref="E13:BE13" si="1">SUM(E10:E12)</f>
        <v>709600000</v>
      </c>
      <c r="F13" s="34">
        <v>459100000</v>
      </c>
      <c r="G13" s="34">
        <f t="shared" si="1"/>
        <v>0</v>
      </c>
      <c r="H13" s="34">
        <f>SUM(H10:H12)</f>
        <v>483342163</v>
      </c>
      <c r="I13" s="34">
        <v>1028893395</v>
      </c>
      <c r="K13" s="34">
        <v>796735000</v>
      </c>
      <c r="L13" s="34">
        <f>SUM(L10:L12)</f>
        <v>519396182</v>
      </c>
      <c r="M13" s="34">
        <f>SUM(M10:M12)</f>
        <v>505019000</v>
      </c>
      <c r="N13" s="34">
        <v>755864005</v>
      </c>
      <c r="O13" s="34">
        <v>393913706.13980246</v>
      </c>
      <c r="P13" s="34">
        <f t="shared" si="1"/>
        <v>6202688000</v>
      </c>
      <c r="Q13" s="34">
        <v>420495984</v>
      </c>
      <c r="R13" s="34">
        <f t="shared" si="1"/>
        <v>767062600</v>
      </c>
      <c r="S13" s="4">
        <v>510200000</v>
      </c>
      <c r="T13" s="34">
        <f t="shared" si="1"/>
        <v>751370445</v>
      </c>
      <c r="U13" s="34">
        <f t="shared" si="1"/>
        <v>520068784</v>
      </c>
      <c r="V13" s="34">
        <v>1403917694</v>
      </c>
      <c r="W13" s="34">
        <v>2695425005</v>
      </c>
      <c r="X13" s="34">
        <v>851344000</v>
      </c>
      <c r="Y13" s="34">
        <f t="shared" si="1"/>
        <v>596397229</v>
      </c>
      <c r="Z13" s="34">
        <f t="shared" si="1"/>
        <v>737954000</v>
      </c>
      <c r="AA13" s="34">
        <v>822929690</v>
      </c>
      <c r="AB13" s="40">
        <v>535918577.39857966</v>
      </c>
      <c r="AC13" s="34">
        <f t="shared" si="1"/>
        <v>6202688000</v>
      </c>
      <c r="AD13" s="34">
        <v>432812443</v>
      </c>
      <c r="AE13" s="34">
        <f t="shared" si="1"/>
        <v>785312334</v>
      </c>
      <c r="AF13" s="34">
        <v>460300000</v>
      </c>
      <c r="AG13" s="34">
        <f t="shared" si="1"/>
        <v>736083294</v>
      </c>
      <c r="AH13" s="34">
        <f t="shared" si="1"/>
        <v>531415902</v>
      </c>
      <c r="AI13" s="34">
        <v>1611193752</v>
      </c>
      <c r="AJ13" s="34">
        <v>2535672027</v>
      </c>
      <c r="AK13" s="34">
        <v>861949000</v>
      </c>
      <c r="AL13" s="34">
        <v>603561874</v>
      </c>
      <c r="AM13" s="34">
        <f t="shared" si="1"/>
        <v>602103000</v>
      </c>
      <c r="AN13" s="226">
        <v>823112702</v>
      </c>
      <c r="AO13" s="40">
        <v>518527632.05740738</v>
      </c>
      <c r="AP13" s="34">
        <f t="shared" si="1"/>
        <v>5758042000</v>
      </c>
      <c r="AQ13" s="34">
        <v>543393311</v>
      </c>
      <c r="AR13" s="34">
        <f t="shared" si="1"/>
        <v>820284013</v>
      </c>
      <c r="AS13" s="34">
        <v>524400000</v>
      </c>
      <c r="AT13" s="34">
        <f t="shared" si="1"/>
        <v>732323000</v>
      </c>
      <c r="AU13" s="34">
        <f t="shared" si="1"/>
        <v>548742505</v>
      </c>
      <c r="AV13" s="34">
        <v>1608727030</v>
      </c>
      <c r="AW13" s="34">
        <v>2335263641</v>
      </c>
      <c r="AX13" s="34">
        <v>896029000</v>
      </c>
      <c r="AY13" s="34">
        <f>SUM(AY10:AY12)</f>
        <v>612052647</v>
      </c>
      <c r="AZ13" s="34">
        <f t="shared" si="1"/>
        <v>668059000</v>
      </c>
      <c r="BA13" s="34">
        <v>845129855</v>
      </c>
      <c r="BB13" s="40">
        <v>525441871.88380808</v>
      </c>
      <c r="BC13" s="34">
        <f>SUM(BC10:BC12)</f>
        <v>6225178089.9400005</v>
      </c>
      <c r="BD13" s="34">
        <v>535381399</v>
      </c>
      <c r="BE13" s="34">
        <f t="shared" si="1"/>
        <v>857528458</v>
      </c>
      <c r="BF13" s="34">
        <v>601800000</v>
      </c>
      <c r="BG13" s="34">
        <f>SUM(BG10:BG12)</f>
        <v>756543218</v>
      </c>
      <c r="BH13" s="34">
        <f>SUM(BH10:BH12)</f>
        <v>670882232</v>
      </c>
      <c r="BI13" s="34">
        <v>1733374219</v>
      </c>
      <c r="BJ13" s="34">
        <v>2447936469</v>
      </c>
      <c r="BK13" s="34">
        <v>1098575000</v>
      </c>
      <c r="BL13" s="34">
        <f>SUM(BL10:BL12)</f>
        <v>665107666</v>
      </c>
      <c r="BM13" s="34">
        <f>SUM(BM10:BM12)</f>
        <v>628508282.57999992</v>
      </c>
      <c r="BN13" s="34">
        <v>970040850</v>
      </c>
      <c r="BO13" s="40">
        <v>656725588.6996516</v>
      </c>
      <c r="BP13" s="296">
        <f>SUM(BP10:BP12)</f>
        <v>6337948568.6720409</v>
      </c>
      <c r="BQ13" s="296">
        <f t="shared" ref="BQ13:CC13" si="2">SUM(BQ10:BQ12)</f>
        <v>505580947</v>
      </c>
      <c r="BR13" s="296">
        <f t="shared" si="2"/>
        <v>891229729</v>
      </c>
      <c r="BS13" s="296">
        <f t="shared" si="2"/>
        <v>608265000</v>
      </c>
      <c r="BT13" s="296">
        <f t="shared" si="2"/>
        <v>449462270</v>
      </c>
      <c r="BU13" s="296">
        <f t="shared" si="2"/>
        <v>428416319</v>
      </c>
      <c r="BV13" s="296">
        <f t="shared" si="2"/>
        <v>610100008</v>
      </c>
      <c r="BW13" s="296">
        <f t="shared" si="2"/>
        <v>1724104534</v>
      </c>
      <c r="BX13" s="296">
        <f t="shared" si="2"/>
        <v>2185903521</v>
      </c>
      <c r="BY13" s="296">
        <f t="shared" si="2"/>
        <v>1289594044</v>
      </c>
      <c r="BZ13" s="296">
        <f t="shared" si="2"/>
        <v>714464514.30573928</v>
      </c>
      <c r="CA13" s="296">
        <f t="shared" si="2"/>
        <v>693870876</v>
      </c>
      <c r="CB13" s="296">
        <f t="shared" si="2"/>
        <v>1094887604</v>
      </c>
      <c r="CC13" s="296">
        <f t="shared" si="2"/>
        <v>715522610</v>
      </c>
      <c r="CD13" s="308">
        <f t="shared" si="0"/>
        <v>877878589</v>
      </c>
    </row>
    <row r="14" spans="1:82" x14ac:dyDescent="0.3">
      <c r="A14" s="4">
        <v>11</v>
      </c>
      <c r="B14" s="106" t="s">
        <v>18</v>
      </c>
      <c r="C14" s="34">
        <v>4670069000</v>
      </c>
      <c r="D14" s="292"/>
      <c r="E14" s="38">
        <f>(105.4+157.5)*1000000</f>
        <v>262899999.99999997</v>
      </c>
      <c r="F14" s="38">
        <v>153200000</v>
      </c>
      <c r="G14" s="38"/>
      <c r="H14" s="102">
        <v>191542654</v>
      </c>
      <c r="I14" s="102">
        <v>454584154</v>
      </c>
      <c r="K14" s="37">
        <v>566309934.82142854</v>
      </c>
      <c r="L14" s="34">
        <v>196681412</v>
      </c>
      <c r="M14" s="34">
        <v>282195993.5</v>
      </c>
      <c r="N14" s="226">
        <v>239118931</v>
      </c>
      <c r="O14" s="40">
        <v>303275000</v>
      </c>
      <c r="P14" s="39">
        <v>2937818126</v>
      </c>
      <c r="Q14" s="34">
        <v>0</v>
      </c>
      <c r="R14" s="34">
        <v>194400000</v>
      </c>
      <c r="S14" s="4">
        <v>114500000</v>
      </c>
      <c r="T14" s="34">
        <v>155599356.1111111</v>
      </c>
      <c r="U14" s="102">
        <v>93815239</v>
      </c>
      <c r="V14" s="102">
        <v>369385406</v>
      </c>
      <c r="W14" s="102">
        <v>716477855</v>
      </c>
      <c r="X14" s="37">
        <v>356762188.39285713</v>
      </c>
      <c r="Y14" s="34">
        <v>155066877</v>
      </c>
      <c r="Z14" s="34">
        <v>186533441</v>
      </c>
      <c r="AA14" s="226">
        <v>164959281</v>
      </c>
      <c r="AB14" s="40">
        <v>219698999.99999997</v>
      </c>
      <c r="AC14" s="34">
        <v>2937818126</v>
      </c>
      <c r="AD14" s="34">
        <v>0</v>
      </c>
      <c r="AE14" s="34">
        <v>223405300</v>
      </c>
      <c r="AF14" s="34">
        <v>139200000</v>
      </c>
      <c r="AG14" s="34">
        <v>182744147.3255814</v>
      </c>
      <c r="AH14" s="34">
        <v>106252639</v>
      </c>
      <c r="AI14" s="34">
        <v>387108270</v>
      </c>
      <c r="AJ14" s="34">
        <v>791792311</v>
      </c>
      <c r="AK14" s="34">
        <v>357110518.74999994</v>
      </c>
      <c r="AL14" s="34">
        <v>165948774</v>
      </c>
      <c r="AM14" s="34">
        <v>208524765</v>
      </c>
      <c r="AN14" s="226">
        <v>177137523</v>
      </c>
      <c r="AO14" s="40">
        <v>218899999.99999997</v>
      </c>
      <c r="AP14" s="34">
        <v>4559690000</v>
      </c>
      <c r="AQ14" s="34" t="s">
        <v>210</v>
      </c>
      <c r="AR14" s="34">
        <v>273777503</v>
      </c>
      <c r="AS14" s="34">
        <v>179800000</v>
      </c>
      <c r="AT14" s="34">
        <v>221133746.64285713</v>
      </c>
      <c r="AU14" s="34">
        <v>163256985</v>
      </c>
      <c r="AV14" s="34">
        <v>473277398</v>
      </c>
      <c r="AW14" s="34">
        <v>999048830</v>
      </c>
      <c r="AX14" s="34">
        <v>539482428.57142854</v>
      </c>
      <c r="AY14" s="34">
        <v>191939277</v>
      </c>
      <c r="AZ14" s="34">
        <v>231160871</v>
      </c>
      <c r="BA14" s="226">
        <v>217453187</v>
      </c>
      <c r="BB14" s="40">
        <v>276097999.99999994</v>
      </c>
      <c r="BC14" s="34">
        <v>4966513000</v>
      </c>
      <c r="BD14" s="34">
        <v>12500000</v>
      </c>
      <c r="BE14" s="34">
        <v>301899397</v>
      </c>
      <c r="BF14" s="34">
        <v>195800000</v>
      </c>
      <c r="BG14" s="34">
        <v>244585325.35714284</v>
      </c>
      <c r="BH14" s="34">
        <v>184546987</v>
      </c>
      <c r="BI14" s="34">
        <v>580848083</v>
      </c>
      <c r="BJ14" s="34">
        <v>1084153064</v>
      </c>
      <c r="BK14" s="34">
        <v>631640134.82142854</v>
      </c>
      <c r="BL14" s="34">
        <v>216433971</v>
      </c>
      <c r="BM14" s="34">
        <v>265300104</v>
      </c>
      <c r="BN14" s="226">
        <v>239511452</v>
      </c>
      <c r="BO14" s="40">
        <v>333015999.99999994</v>
      </c>
      <c r="BP14" s="296">
        <f>[1]Sammenstilling_buss!BP14+[1]Sammenstilling_Skinnegående!W14+[1]Sammenstilling_Skinnegående!X14+'[1]Sammenstilling_Båt&amp;Hurtigbåt'!H14+(1611914000)</f>
        <v>5524015285.9499979</v>
      </c>
      <c r="BQ14" s="291">
        <f>[1]Sammenstilling_buss!BQ14+'[1]Sammenstilling_Båt&amp;Hurtigbåt'!N14</f>
        <v>65625584</v>
      </c>
      <c r="BR14" s="291">
        <f>[1]Sammenstilling_buss!BR14</f>
        <v>327592492</v>
      </c>
      <c r="BS14" s="295">
        <f>[1]Sammenstilling_buss!BS14</f>
        <v>198100000</v>
      </c>
      <c r="BT14" s="291">
        <f>[1]Sammenstilling_buss!CC14</f>
        <v>185261113</v>
      </c>
      <c r="BU14" s="291">
        <f>[1]Sammenstilling_buss!BT14+'[1]Sammenstilling_Båt&amp;Hurtigbåt'!BS14</f>
        <v>95788151.321428567</v>
      </c>
      <c r="BV14" s="291">
        <f>[1]Sammenstilling_buss!BU14</f>
        <v>196883254</v>
      </c>
      <c r="BW14" s="291">
        <f>[1]Sammenstilling_buss!BV14+'[1]Sammenstilling_Båt&amp;Hurtigbåt'!AV14</f>
        <v>552856489</v>
      </c>
      <c r="BX14" s="291">
        <f>[1]Sammenstilling_buss!BW14+'[1]Sammenstilling_Båt&amp;Hurtigbåt'!T14+[1]Sammenstilling_Skinnegående!Y14</f>
        <v>1108570666.5099998</v>
      </c>
      <c r="BY14" s="291">
        <f>[1]Sammenstilling_buss!BX14+'[1]Sammenstilling_Båt&amp;Hurtigbåt'!AJ14+[1]Sammenstilling_Skinnegående!Z14</f>
        <v>822706259.32142854</v>
      </c>
      <c r="BZ14" s="291">
        <f>[1]Sammenstilling_buss!BY14+'[1]Sammenstilling_Båt&amp;Hurtigbåt'!AP14</f>
        <v>221723429.35714287</v>
      </c>
      <c r="CA14" s="314">
        <f>[1]Sammenstilling_buss!BZ14+'[1]Sammenstilling_Båt&amp;Hurtigbåt'!BB14</f>
        <v>273683830</v>
      </c>
      <c r="CB14" s="314">
        <f>[1]Sammenstilling_buss!CA14+'[1]Sammenstilling_Båt&amp;Hurtigbåt'!BH14</f>
        <v>142481677</v>
      </c>
      <c r="CC14" s="291">
        <f>[1]Sammenstilling_buss!CB14+'[1]Sammenstilling_Båt&amp;Hurtigbåt'!BN14</f>
        <v>347006000</v>
      </c>
      <c r="CD14" s="308">
        <f t="shared" si="0"/>
        <v>281049264.32142854</v>
      </c>
    </row>
    <row r="15" spans="1:82" x14ac:dyDescent="0.3">
      <c r="A15" s="4">
        <v>12</v>
      </c>
      <c r="B15" s="13" t="s">
        <v>19</v>
      </c>
      <c r="C15" s="34">
        <v>9101126000</v>
      </c>
      <c r="D15" s="292">
        <f>D13</f>
        <v>397142007</v>
      </c>
      <c r="E15" s="38">
        <v>942500000</v>
      </c>
      <c r="F15" s="38">
        <v>562400000</v>
      </c>
      <c r="H15" s="103">
        <v>750205967</v>
      </c>
      <c r="I15" s="103">
        <v>1395442166</v>
      </c>
      <c r="K15" s="37">
        <v>1358882955</v>
      </c>
      <c r="L15" s="34">
        <v>851228366</v>
      </c>
      <c r="M15" s="34">
        <v>794842704</v>
      </c>
      <c r="N15" s="34">
        <v>953688951</v>
      </c>
      <c r="O15" s="40">
        <v>753565706.13980246</v>
      </c>
      <c r="P15" s="39">
        <v>9535732380</v>
      </c>
      <c r="Q15" s="34">
        <v>229713355</v>
      </c>
      <c r="R15" s="34">
        <v>920000000</v>
      </c>
      <c r="S15" s="4">
        <v>573000000</v>
      </c>
      <c r="T15" s="34">
        <v>837579379.44444442</v>
      </c>
      <c r="U15" s="102">
        <v>718316914</v>
      </c>
      <c r="V15" s="102">
        <v>1640486532</v>
      </c>
      <c r="W15" s="102">
        <v>2929862213</v>
      </c>
      <c r="X15" s="37">
        <v>1607378244</v>
      </c>
      <c r="Y15" s="34">
        <v>885278186</v>
      </c>
      <c r="Z15" s="34">
        <v>788162353</v>
      </c>
      <c r="AA15" s="34">
        <v>973048628</v>
      </c>
      <c r="AB15" s="40">
        <v>810534577.3985796</v>
      </c>
      <c r="AC15" s="34">
        <v>9535732380</v>
      </c>
      <c r="AD15" s="34">
        <v>235507166</v>
      </c>
      <c r="AE15" s="34">
        <v>973373577</v>
      </c>
      <c r="AF15" s="34">
        <v>556600000</v>
      </c>
      <c r="AG15" s="34">
        <v>868931773.9069767</v>
      </c>
      <c r="AH15" s="34">
        <v>732934566</v>
      </c>
      <c r="AI15" s="34">
        <v>1848266921</v>
      </c>
      <c r="AJ15" s="34">
        <v>2919698358</v>
      </c>
      <c r="AK15" s="34">
        <v>1505570104</v>
      </c>
      <c r="AL15" s="34">
        <v>912086967</v>
      </c>
      <c r="AM15" s="34">
        <v>775439242</v>
      </c>
      <c r="AN15" s="226">
        <v>1004650911</v>
      </c>
      <c r="AO15" s="40">
        <v>791733632.0574075</v>
      </c>
      <c r="AP15" s="34">
        <v>11083886000</v>
      </c>
      <c r="AQ15" s="34">
        <v>280597262</v>
      </c>
      <c r="AR15" s="34">
        <v>1016969187</v>
      </c>
      <c r="AS15" s="34">
        <v>663200000</v>
      </c>
      <c r="AT15" s="34">
        <v>918000460.32142854</v>
      </c>
      <c r="AU15" s="34">
        <v>817981706</v>
      </c>
      <c r="AV15" s="34">
        <v>1930417077</v>
      </c>
      <c r="AW15" s="34">
        <v>2992952827</v>
      </c>
      <c r="AX15" s="34">
        <v>1662627162</v>
      </c>
      <c r="AY15" s="34">
        <v>956549518</v>
      </c>
      <c r="AZ15" s="34">
        <v>845195088</v>
      </c>
      <c r="BA15" s="34">
        <v>1093616825</v>
      </c>
      <c r="BB15" s="40">
        <v>857692871.88380802</v>
      </c>
      <c r="BC15" s="34">
        <v>12108798000</v>
      </c>
      <c r="BD15" s="34">
        <v>287585757</v>
      </c>
      <c r="BE15" s="34">
        <v>1110715077</v>
      </c>
      <c r="BF15" s="34">
        <v>769700000</v>
      </c>
      <c r="BG15" s="34">
        <v>1003885786.6071428</v>
      </c>
      <c r="BH15" s="34">
        <v>912333684</v>
      </c>
      <c r="BI15" s="34">
        <v>2123932073</v>
      </c>
      <c r="BJ15" s="34">
        <v>3341909232</v>
      </c>
      <c r="BK15" s="34">
        <v>1837619617</v>
      </c>
      <c r="BL15" s="34">
        <v>1055833684</v>
      </c>
      <c r="BM15" s="34">
        <v>920217551</v>
      </c>
      <c r="BN15" s="34">
        <v>1281524002</v>
      </c>
      <c r="BO15" s="40">
        <v>999288588.6996516</v>
      </c>
      <c r="BP15" s="296">
        <f>[1]Sammenstilling_buss!BP15+[1]Sammenstilling_Skinnegående!W15+[1]Sammenstilling_Skinnegående!X15+'[1]Sammenstilling_Båt&amp;Hurtigbåt'!H15+4436003754</f>
        <v>12661487000.200012</v>
      </c>
      <c r="BQ15" s="291">
        <f>[1]Sammenstilling_buss!BQ15+'[1]Sammenstilling_Båt&amp;Hurtigbåt'!N15</f>
        <v>0</v>
      </c>
      <c r="BR15" s="291">
        <f>[1]Sammenstilling_buss!BR15</f>
        <v>1172715578</v>
      </c>
      <c r="BS15" s="295">
        <f>[1]Sammenstilling_buss!BS15</f>
        <v>743100000</v>
      </c>
      <c r="BT15" s="291">
        <f>[1]Sammenstilling_buss!CC15</f>
        <v>615828991</v>
      </c>
      <c r="BU15" s="291">
        <f>[1]Sammenstilling_buss!BT15+'[1]Sammenstilling_Båt&amp;Hurtigbåt'!BS15</f>
        <v>439276563</v>
      </c>
      <c r="BV15" s="291">
        <f>[1]Sammenstilling_buss!BU15</f>
        <v>916247965</v>
      </c>
      <c r="BW15" s="291">
        <f>[1]Sammenstilling_buss!BV15+'[1]Sammenstilling_Båt&amp;Hurtigbåt'!AV15</f>
        <v>2220647416</v>
      </c>
      <c r="BX15" s="291">
        <f>[1]Sammenstilling_buss!BW15+'[1]Sammenstilling_Båt&amp;Hurtigbåt'!T15+[1]Sammenstilling_Skinnegående!Y15</f>
        <v>3086639769</v>
      </c>
      <c r="BY15" s="291">
        <f>[1]Sammenstilling_buss!BX15+'[1]Sammenstilling_Båt&amp;Hurtigbåt'!AJ15+[1]Sammenstilling_Skinnegående!Z15</f>
        <v>1949573542</v>
      </c>
      <c r="BZ15" s="291">
        <f>[1]Sammenstilling_buss!BY15+'[1]Sammenstilling_Båt&amp;Hurtigbåt'!AP15</f>
        <v>1030848279.8622639</v>
      </c>
      <c r="CA15" s="314">
        <f>[1]Sammenstilling_buss!BZ15+'[1]Sammenstilling_Båt&amp;Hurtigbåt'!BB15</f>
        <v>997758754</v>
      </c>
      <c r="CB15" s="314">
        <f>[1]Sammenstilling_buss!CA15+'[1]Sammenstilling_Båt&amp;Hurtigbåt'!BH15</f>
        <v>1301950946</v>
      </c>
      <c r="CC15" s="291">
        <f>[1]Sammenstilling_buss!CB15+'[1]Sammenstilling_Båt&amp;Hurtigbåt'!BN15</f>
        <v>1076812610</v>
      </c>
      <c r="CD15" s="308">
        <f t="shared" si="0"/>
        <v>1055105554</v>
      </c>
    </row>
    <row r="16" spans="1:82" x14ac:dyDescent="0.3">
      <c r="A16" s="4">
        <v>13</v>
      </c>
      <c r="B16" s="14" t="s">
        <v>20</v>
      </c>
      <c r="C16" s="34">
        <v>76000000</v>
      </c>
      <c r="D16" s="292">
        <v>0</v>
      </c>
      <c r="E16" s="38">
        <f>E17-E15</f>
        <v>109800000</v>
      </c>
      <c r="F16" s="38">
        <v>49900000</v>
      </c>
      <c r="G16" s="38"/>
      <c r="H16" s="102">
        <v>5290</v>
      </c>
      <c r="I16" s="102">
        <v>92432608</v>
      </c>
      <c r="K16" s="37">
        <v>57279000</v>
      </c>
      <c r="L16" s="34">
        <v>229</v>
      </c>
      <c r="M16" s="34">
        <v>4313277.92</v>
      </c>
      <c r="N16" s="220">
        <v>0</v>
      </c>
      <c r="O16" s="40">
        <v>0</v>
      </c>
      <c r="P16" s="39">
        <v>79000000</v>
      </c>
      <c r="Q16" s="34">
        <f>Q13-Q15</f>
        <v>190782629</v>
      </c>
      <c r="R16" s="34">
        <v>77400000</v>
      </c>
      <c r="S16" s="2">
        <v>51700000</v>
      </c>
      <c r="T16" s="34">
        <v>37622196</v>
      </c>
      <c r="U16" s="102">
        <v>2262</v>
      </c>
      <c r="V16" s="102">
        <v>133473659</v>
      </c>
      <c r="W16" s="102">
        <v>153141006</v>
      </c>
      <c r="X16" s="37">
        <v>62320000</v>
      </c>
      <c r="Y16" s="34">
        <f>119147+55</f>
        <v>119202</v>
      </c>
      <c r="Z16" s="34">
        <v>8634265</v>
      </c>
      <c r="AA16" s="34">
        <v>0</v>
      </c>
      <c r="AB16" s="40">
        <v>0</v>
      </c>
      <c r="AC16" s="34">
        <v>79000000</v>
      </c>
      <c r="AD16" s="34">
        <f>AD13-AD15</f>
        <v>197305277</v>
      </c>
      <c r="AE16" s="34">
        <v>85778052</v>
      </c>
      <c r="AF16" s="34">
        <v>48300000</v>
      </c>
      <c r="AG16" s="34">
        <v>42462486</v>
      </c>
      <c r="AH16" s="34">
        <v>342</v>
      </c>
      <c r="AI16" s="34">
        <v>135598076</v>
      </c>
      <c r="AJ16" s="34">
        <v>175416531</v>
      </c>
      <c r="AK16" s="34">
        <v>100567000</v>
      </c>
      <c r="AL16" s="34">
        <v>3062</v>
      </c>
      <c r="AM16" s="34">
        <v>5298198</v>
      </c>
      <c r="AN16" s="226">
        <v>0</v>
      </c>
      <c r="AO16" s="40">
        <v>0</v>
      </c>
      <c r="AP16" s="34">
        <v>85500000</v>
      </c>
      <c r="AQ16" s="34">
        <f>AQ13-AQ15</f>
        <v>262796049</v>
      </c>
      <c r="AR16" s="34">
        <v>92859672</v>
      </c>
      <c r="AS16" s="34">
        <v>44800000</v>
      </c>
      <c r="AT16" s="34">
        <v>43891815</v>
      </c>
      <c r="AU16" s="34">
        <v>6584</v>
      </c>
      <c r="AV16" s="34">
        <v>167344356</v>
      </c>
      <c r="AW16" s="34">
        <v>194404750</v>
      </c>
      <c r="AX16" s="34">
        <v>119843000</v>
      </c>
      <c r="AY16" s="34">
        <v>15470</v>
      </c>
      <c r="AZ16" s="34">
        <v>7762466</v>
      </c>
      <c r="BA16" s="34">
        <v>0</v>
      </c>
      <c r="BB16" s="40">
        <v>0</v>
      </c>
      <c r="BC16" s="34">
        <v>127000000</v>
      </c>
      <c r="BD16" s="34">
        <f>BD13-BD15</f>
        <v>247795642</v>
      </c>
      <c r="BE16" s="34">
        <v>86124846</v>
      </c>
      <c r="BF16" s="34">
        <v>38200000</v>
      </c>
      <c r="BG16" s="34">
        <v>56420115</v>
      </c>
      <c r="BH16" s="34">
        <v>5946</v>
      </c>
      <c r="BI16" s="34">
        <v>179050722</v>
      </c>
      <c r="BJ16" s="34">
        <v>219920609</v>
      </c>
      <c r="BK16" s="34">
        <v>169165000</v>
      </c>
      <c r="BL16" s="34">
        <v>169403</v>
      </c>
      <c r="BM16" s="34">
        <v>7683800</v>
      </c>
      <c r="BN16" s="34">
        <v>0</v>
      </c>
      <c r="BO16" s="40">
        <v>0</v>
      </c>
      <c r="BP16" s="296">
        <f>[1]Sammenstilling_buss!BP16+[1]Sammenstilling_Skinnegående!W16+[1]Sammenstilling_Skinnegående!X16+'[1]Sammenstilling_Båt&amp;Hurtigbåt'!H16+140322000</f>
        <v>157127483.98500001</v>
      </c>
      <c r="BQ16" s="291">
        <f>[1]Sammenstilling_buss!BQ16+'[1]Sammenstilling_Båt&amp;Hurtigbåt'!N16</f>
        <v>0</v>
      </c>
      <c r="BR16" s="291">
        <f>[1]Sammenstilling_buss!BR16</f>
        <v>74669459</v>
      </c>
      <c r="BS16" s="295">
        <f>[1]Sammenstilling_buss!BS16</f>
        <v>40600000</v>
      </c>
      <c r="BT16" s="291">
        <f>[1]Sammenstilling_buss!CC16</f>
        <v>37370791</v>
      </c>
      <c r="BU16" s="291">
        <f>[1]Sammenstilling_buss!BT16+'[1]Sammenstilling_Båt&amp;Hurtigbåt'!BS16</f>
        <v>38069041</v>
      </c>
      <c r="BV16" s="291">
        <f>[1]Sammenstilling_buss!BU16</f>
        <v>4619</v>
      </c>
      <c r="BW16" s="291">
        <f>[1]Sammenstilling_buss!BV16+'[1]Sammenstilling_Båt&amp;Hurtigbåt'!AV16</f>
        <v>159615601</v>
      </c>
      <c r="BX16" s="291">
        <f>[1]Sammenstilling_buss!BW16+'[1]Sammenstilling_Båt&amp;Hurtigbåt'!T16+[1]Sammenstilling_Skinnegående!Y16</f>
        <v>242263474</v>
      </c>
      <c r="BY16" s="291">
        <f>[1]Sammenstilling_buss!BX16+'[1]Sammenstilling_Båt&amp;Hurtigbåt'!AJ16+[1]Sammenstilling_Skinnegående!Z16</f>
        <v>187965738</v>
      </c>
      <c r="BZ16" s="291">
        <f>[1]Sammenstilling_buss!BY16+'[1]Sammenstilling_Båt&amp;Hurtigbåt'!AP16</f>
        <v>88747560.024079949</v>
      </c>
      <c r="CA16" s="314">
        <f>[1]Sammenstilling_buss!BZ16+'[1]Sammenstilling_Båt&amp;Hurtigbåt'!BB16</f>
        <v>13611891</v>
      </c>
      <c r="CB16" s="314">
        <f>[1]Sammenstilling_buss!CA16+'[1]Sammenstilling_Båt&amp;Hurtigbåt'!BH16</f>
        <v>0</v>
      </c>
      <c r="CC16" s="291">
        <f>[1]Sammenstilling_buss!CB16+'[1]Sammenstilling_Båt&amp;Hurtigbåt'!BN16</f>
        <v>0</v>
      </c>
      <c r="CD16" s="308">
        <f t="shared" si="0"/>
        <v>75439832</v>
      </c>
    </row>
    <row r="17" spans="1:82" x14ac:dyDescent="0.3">
      <c r="A17" s="4">
        <v>14</v>
      </c>
      <c r="B17" s="107" t="s">
        <v>21</v>
      </c>
      <c r="C17" s="34">
        <v>9177126000</v>
      </c>
      <c r="D17" s="292">
        <f>D15</f>
        <v>397142007</v>
      </c>
      <c r="E17" s="38">
        <v>1052300000</v>
      </c>
      <c r="F17" s="38">
        <v>612300000</v>
      </c>
      <c r="H17" s="102">
        <f>H15+H16</f>
        <v>750211257</v>
      </c>
      <c r="I17" s="102">
        <v>1487874774</v>
      </c>
      <c r="J17" s="102"/>
      <c r="K17" s="37">
        <v>1416161955</v>
      </c>
      <c r="L17" s="34">
        <f>L15+L16</f>
        <v>851228595</v>
      </c>
      <c r="M17" s="34">
        <v>799155981.91999996</v>
      </c>
      <c r="N17" s="34">
        <f>N15</f>
        <v>953688951</v>
      </c>
      <c r="O17" s="40">
        <v>753565706.13980246</v>
      </c>
      <c r="P17" s="39">
        <v>9614732380</v>
      </c>
      <c r="Q17" s="34">
        <f>Q15+Q16</f>
        <v>420495984</v>
      </c>
      <c r="R17" s="34">
        <v>997400000</v>
      </c>
      <c r="S17" s="2">
        <v>624700000</v>
      </c>
      <c r="T17" s="34">
        <v>875201575.44444442</v>
      </c>
      <c r="U17" s="102">
        <f>U15+U16</f>
        <v>718319176</v>
      </c>
      <c r="V17" s="102">
        <v>1773960191</v>
      </c>
      <c r="W17" s="102">
        <v>3083003219</v>
      </c>
      <c r="X17" s="37">
        <v>1669698244</v>
      </c>
      <c r="Y17" s="34">
        <f>Y15+Y16</f>
        <v>885397388</v>
      </c>
      <c r="Z17" s="34">
        <f>Z15+Z16</f>
        <v>796796618</v>
      </c>
      <c r="AA17" s="34">
        <f>AA15</f>
        <v>973048628</v>
      </c>
      <c r="AB17" s="40">
        <v>810534577.3985796</v>
      </c>
      <c r="AC17" s="34">
        <v>9614732380</v>
      </c>
      <c r="AD17" s="34">
        <f>AD15+AD16</f>
        <v>432812443</v>
      </c>
      <c r="AE17" s="34">
        <v>1059151629</v>
      </c>
      <c r="AF17" s="34">
        <v>604900000</v>
      </c>
      <c r="AG17" s="34">
        <v>911394259.9069767</v>
      </c>
      <c r="AH17" s="34">
        <v>732934908</v>
      </c>
      <c r="AI17" s="34">
        <v>1983864997</v>
      </c>
      <c r="AJ17" s="34">
        <v>3095114889</v>
      </c>
      <c r="AK17" s="34">
        <v>1606137104</v>
      </c>
      <c r="AL17" s="34">
        <v>912090029</v>
      </c>
      <c r="AM17" s="34">
        <v>780737440</v>
      </c>
      <c r="AN17" s="226">
        <f>AN15</f>
        <v>1004650911</v>
      </c>
      <c r="AO17" s="40">
        <v>791733632.0574075</v>
      </c>
      <c r="AP17" s="34">
        <v>11169386000</v>
      </c>
      <c r="AQ17" s="34">
        <f>AQ15+AQ16</f>
        <v>543393311</v>
      </c>
      <c r="AR17" s="34">
        <v>1109828859</v>
      </c>
      <c r="AS17" s="34">
        <v>708000000</v>
      </c>
      <c r="AT17" s="34">
        <v>961892275.32142854</v>
      </c>
      <c r="AU17" s="34">
        <v>817988290</v>
      </c>
      <c r="AV17" s="34">
        <v>2097761433</v>
      </c>
      <c r="AW17" s="34">
        <v>3187357577</v>
      </c>
      <c r="AX17" s="34">
        <v>1782470162</v>
      </c>
      <c r="AY17" s="34">
        <v>956564988</v>
      </c>
      <c r="AZ17" s="34">
        <v>852957554</v>
      </c>
      <c r="BA17" s="34">
        <f>BA15</f>
        <v>1093616825</v>
      </c>
      <c r="BB17" s="40">
        <v>857692871.88380802</v>
      </c>
      <c r="BC17" s="34">
        <v>12235798000</v>
      </c>
      <c r="BD17" s="34">
        <f>BD16+BD15</f>
        <v>535381399</v>
      </c>
      <c r="BE17" s="34">
        <v>1196839923</v>
      </c>
      <c r="BF17" s="34">
        <v>807900000.00000012</v>
      </c>
      <c r="BG17" s="34">
        <v>1060305901.6071428</v>
      </c>
      <c r="BH17" s="34">
        <v>912339630</v>
      </c>
      <c r="BI17" s="34">
        <v>2302982795</v>
      </c>
      <c r="BJ17" s="34">
        <v>3561829841</v>
      </c>
      <c r="BK17" s="34">
        <v>2006784617</v>
      </c>
      <c r="BL17" s="34">
        <v>1056003087</v>
      </c>
      <c r="BM17" s="34">
        <v>927901351</v>
      </c>
      <c r="BN17" s="34">
        <f>BN15</f>
        <v>1281524002</v>
      </c>
      <c r="BO17" s="40">
        <v>999288588.6996516</v>
      </c>
      <c r="BP17" s="296">
        <f>SUM(BP15:BP16)</f>
        <v>12818614484.185013</v>
      </c>
      <c r="BQ17" s="297">
        <f>[1]Sammenstilling_buss!BQ17+'[1]Sammenstilling_Båt&amp;Hurtigbåt'!N17</f>
        <v>571206531</v>
      </c>
      <c r="BR17" s="291">
        <f>[1]Sammenstilling_buss!BR17</f>
        <v>1247385037</v>
      </c>
      <c r="BS17" s="295">
        <f>[1]Sammenstilling_buss!BS17</f>
        <v>823800000</v>
      </c>
      <c r="BT17" s="291">
        <f>[1]Sammenstilling_buss!CC17</f>
        <v>653199782</v>
      </c>
      <c r="BU17" s="291">
        <f>[1]Sammenstilling_buss!BT17+'[1]Sammenstilling_Båt&amp;Hurtigbåt'!BS17</f>
        <v>477345604</v>
      </c>
      <c r="BV17" s="291">
        <f>[1]Sammenstilling_buss!BU17</f>
        <v>916252584</v>
      </c>
      <c r="BW17" s="291">
        <f>[1]Sammenstilling_buss!BV17+'[1]Sammenstilling_Båt&amp;Hurtigbåt'!AV17</f>
        <v>2380263017</v>
      </c>
      <c r="BX17" s="291">
        <f>[1]Sammenstilling_buss!BW17+'[1]Sammenstilling_Båt&amp;Hurtigbåt'!T17+[1]Sammenstilling_Skinnegående!Y17</f>
        <v>3328903243</v>
      </c>
      <c r="BY17" s="291">
        <f>[1]Sammenstilling_buss!BX17+'[1]Sammenstilling_Båt&amp;Hurtigbåt'!AJ17+[1]Sammenstilling_Skinnegående!Z17</f>
        <v>2137539280</v>
      </c>
      <c r="BZ17" s="291">
        <f>[1]Sammenstilling_buss!BY17+'[1]Sammenstilling_Båt&amp;Hurtigbåt'!AP17</f>
        <v>1119595839.886344</v>
      </c>
      <c r="CA17" s="314">
        <f>[1]Sammenstilling_buss!BZ17+'[1]Sammenstilling_Båt&amp;Hurtigbåt'!BB17</f>
        <v>1011370645</v>
      </c>
      <c r="CB17" s="314">
        <f>[1]Sammenstilling_buss!CA17+'[1]Sammenstilling_Båt&amp;Hurtigbåt'!BH17</f>
        <v>1301950946</v>
      </c>
      <c r="CC17" s="291">
        <f>[1]Sammenstilling_buss!CB17+'[1]Sammenstilling_Båt&amp;Hurtigbåt'!BN17</f>
        <v>1076812610</v>
      </c>
      <c r="CD17" s="308">
        <f t="shared" si="0"/>
        <v>1130545386</v>
      </c>
    </row>
    <row r="18" spans="1:82" x14ac:dyDescent="0.3">
      <c r="A18" s="251">
        <v>15</v>
      </c>
      <c r="B18" s="252" t="s">
        <v>22</v>
      </c>
      <c r="C18" s="253"/>
      <c r="D18" s="253"/>
      <c r="E18" s="253"/>
      <c r="F18" s="253"/>
      <c r="G18" s="253"/>
      <c r="H18" s="253"/>
      <c r="I18" s="253"/>
      <c r="J18" s="253"/>
      <c r="K18" s="253"/>
      <c r="L18" s="253"/>
      <c r="M18" s="253"/>
      <c r="N18" s="253"/>
      <c r="O18" s="254"/>
      <c r="P18" s="253"/>
      <c r="Q18" s="253"/>
      <c r="R18" s="253"/>
      <c r="S18" s="253"/>
      <c r="T18" s="253"/>
      <c r="U18" s="253"/>
      <c r="V18" s="253"/>
      <c r="W18" s="278"/>
      <c r="X18" s="253"/>
      <c r="Y18" s="253"/>
      <c r="Z18" s="253"/>
      <c r="AA18" s="253"/>
      <c r="AB18" s="254"/>
      <c r="AC18" s="253"/>
      <c r="AD18" s="253"/>
      <c r="AE18" s="253"/>
      <c r="AF18" s="253"/>
      <c r="AG18" s="253"/>
      <c r="AH18" s="253"/>
      <c r="AI18" s="253"/>
      <c r="AJ18" s="253"/>
      <c r="AK18" s="253"/>
      <c r="AL18" s="253"/>
      <c r="AM18" s="253"/>
      <c r="AN18" s="253"/>
      <c r="AO18" s="254"/>
      <c r="AP18" s="253"/>
      <c r="AQ18" s="253"/>
      <c r="AR18" s="253"/>
      <c r="AS18" s="253"/>
      <c r="AT18" s="253"/>
      <c r="AU18" s="253"/>
      <c r="AV18" s="253"/>
      <c r="AW18" s="253"/>
      <c r="AX18" s="253"/>
      <c r="AY18" s="253"/>
      <c r="AZ18" s="253"/>
      <c r="BA18" s="253"/>
      <c r="BB18" s="254"/>
      <c r="BC18" s="283"/>
      <c r="BD18" s="283"/>
      <c r="BE18" s="283"/>
      <c r="BF18" s="283"/>
      <c r="BG18" s="283"/>
      <c r="BH18" s="283"/>
      <c r="BI18" s="283"/>
      <c r="BJ18" s="283"/>
      <c r="BK18" s="283"/>
      <c r="BL18" s="283"/>
      <c r="BM18" s="283"/>
      <c r="BN18" s="283"/>
      <c r="BO18" s="254"/>
      <c r="BP18" s="298"/>
      <c r="BQ18" s="298"/>
      <c r="BR18" s="298"/>
      <c r="BS18" s="298"/>
      <c r="BT18" s="298"/>
      <c r="BU18" s="298"/>
      <c r="BV18" s="298"/>
      <c r="BW18" s="298"/>
      <c r="BX18" s="298"/>
      <c r="BY18" s="298"/>
      <c r="BZ18" s="298"/>
      <c r="CA18" s="298"/>
      <c r="CB18" s="298"/>
      <c r="CC18" s="298"/>
      <c r="CD18" s="308">
        <f t="shared" si="0"/>
        <v>0</v>
      </c>
    </row>
    <row r="19" spans="1:82" x14ac:dyDescent="0.3">
      <c r="A19" s="251">
        <v>16</v>
      </c>
      <c r="B19" s="255" t="s">
        <v>23</v>
      </c>
      <c r="C19" s="253">
        <v>48811</v>
      </c>
      <c r="D19" s="253">
        <v>14910</v>
      </c>
      <c r="E19" s="253">
        <v>9329</v>
      </c>
      <c r="F19" s="253">
        <v>4024</v>
      </c>
      <c r="G19" s="253"/>
      <c r="H19" s="256">
        <v>3382</v>
      </c>
      <c r="I19" s="256"/>
      <c r="J19" s="253"/>
      <c r="K19" s="257">
        <v>44563</v>
      </c>
      <c r="L19" s="253">
        <v>18097.342000000001</v>
      </c>
      <c r="M19" s="253">
        <v>26042.278706000001</v>
      </c>
      <c r="N19" s="253">
        <v>48111</v>
      </c>
      <c r="O19" s="254"/>
      <c r="P19" s="253">
        <v>28434.082999999999</v>
      </c>
      <c r="Q19" s="258">
        <v>14734</v>
      </c>
      <c r="R19" s="253">
        <v>7227</v>
      </c>
      <c r="S19" s="259">
        <v>3616</v>
      </c>
      <c r="T19" s="253">
        <v>10849</v>
      </c>
      <c r="U19" s="253">
        <v>9687</v>
      </c>
      <c r="V19" s="253"/>
      <c r="W19" s="278">
        <v>72000</v>
      </c>
      <c r="X19" s="257">
        <v>40516</v>
      </c>
      <c r="Y19" s="253">
        <v>18603.342000000001</v>
      </c>
      <c r="Z19" s="253">
        <v>26107.4702</v>
      </c>
      <c r="AA19" s="253">
        <v>46348</v>
      </c>
      <c r="AB19" s="254">
        <v>22549</v>
      </c>
      <c r="AC19" s="253">
        <v>20760.080000000002</v>
      </c>
      <c r="AD19" s="258">
        <v>15094</v>
      </c>
      <c r="AE19" s="257">
        <v>8154</v>
      </c>
      <c r="AF19" s="259">
        <v>4340</v>
      </c>
      <c r="AG19" s="253">
        <v>11944</v>
      </c>
      <c r="AH19" s="253">
        <v>14109</v>
      </c>
      <c r="AI19" s="253"/>
      <c r="AJ19" s="278">
        <v>62700</v>
      </c>
      <c r="AK19" s="253">
        <v>47068</v>
      </c>
      <c r="AL19" s="253">
        <v>15029.342000000001</v>
      </c>
      <c r="AM19" s="253">
        <v>24400.646157700001</v>
      </c>
      <c r="AN19" s="253">
        <v>47327</v>
      </c>
      <c r="AO19" s="254">
        <v>24828</v>
      </c>
      <c r="AP19" s="253">
        <v>54548.837</v>
      </c>
      <c r="AQ19" s="253">
        <v>15079</v>
      </c>
      <c r="AR19" s="253">
        <v>7831</v>
      </c>
      <c r="AS19" s="259">
        <v>4114</v>
      </c>
      <c r="AT19" s="253">
        <v>11454</v>
      </c>
      <c r="AU19" s="253">
        <v>14187</v>
      </c>
      <c r="AV19" s="253"/>
      <c r="AW19" s="278">
        <v>68500</v>
      </c>
      <c r="AX19" s="257">
        <v>52088</v>
      </c>
      <c r="AY19" s="253">
        <v>15379.342000000001</v>
      </c>
      <c r="AZ19" s="253">
        <v>24490.803353000003</v>
      </c>
      <c r="BA19" s="253">
        <v>51819</v>
      </c>
      <c r="BB19" s="254">
        <v>26036</v>
      </c>
      <c r="BC19" s="283">
        <v>50628</v>
      </c>
      <c r="BD19" s="283">
        <v>15035</v>
      </c>
      <c r="BE19" s="283">
        <v>8209</v>
      </c>
      <c r="BF19" s="283">
        <v>4070</v>
      </c>
      <c r="BG19" s="283">
        <v>11722</v>
      </c>
      <c r="BH19" s="283">
        <v>11735</v>
      </c>
      <c r="BI19" s="283"/>
      <c r="BJ19" s="293">
        <v>101400</v>
      </c>
      <c r="BK19" s="284">
        <v>49006</v>
      </c>
      <c r="BL19" s="283">
        <v>15858.194659999999</v>
      </c>
      <c r="BM19" s="283">
        <v>24065.480013</v>
      </c>
      <c r="BN19" s="283">
        <v>53916</v>
      </c>
      <c r="BO19" s="254">
        <v>25224</v>
      </c>
      <c r="BP19" s="298">
        <v>45846</v>
      </c>
      <c r="BQ19" s="298">
        <v>12892</v>
      </c>
      <c r="BR19" s="298">
        <v>8505</v>
      </c>
      <c r="BS19" s="298">
        <v>1960</v>
      </c>
      <c r="BT19" s="298">
        <v>5032</v>
      </c>
      <c r="BU19" s="298">
        <v>5069</v>
      </c>
      <c r="BV19" s="298">
        <v>6976</v>
      </c>
      <c r="BW19" s="299"/>
      <c r="BX19" s="298">
        <v>98700</v>
      </c>
      <c r="BY19" s="298">
        <v>66532</v>
      </c>
      <c r="BZ19" s="298">
        <v>13362</v>
      </c>
      <c r="CA19" s="298">
        <v>28635</v>
      </c>
      <c r="CB19" s="298">
        <v>112486</v>
      </c>
      <c r="CC19" s="299"/>
      <c r="CD19" s="308">
        <f t="shared" si="0"/>
        <v>10101</v>
      </c>
    </row>
    <row r="20" spans="1:82" x14ac:dyDescent="0.3">
      <c r="A20" s="260">
        <v>17</v>
      </c>
      <c r="B20" s="261" t="s">
        <v>24</v>
      </c>
      <c r="C20" s="262">
        <v>615181</v>
      </c>
      <c r="D20" s="262" t="s">
        <v>29</v>
      </c>
      <c r="E20" s="262">
        <v>903625</v>
      </c>
      <c r="F20" s="262">
        <v>590520</v>
      </c>
      <c r="G20" s="263"/>
      <c r="H20" s="264">
        <v>1446945</v>
      </c>
      <c r="I20" s="264">
        <v>303240</v>
      </c>
      <c r="J20" s="263"/>
      <c r="K20" s="265">
        <v>2708</v>
      </c>
      <c r="L20" s="264">
        <f>736*180*2</f>
        <v>264960</v>
      </c>
      <c r="M20" s="263">
        <v>913</v>
      </c>
      <c r="N20" s="263"/>
      <c r="O20" s="266">
        <v>1794940</v>
      </c>
      <c r="P20" s="263">
        <v>469303</v>
      </c>
      <c r="Q20" s="263"/>
      <c r="R20" s="264">
        <v>778895</v>
      </c>
      <c r="S20" s="267">
        <f>1545*2*190</f>
        <v>587100</v>
      </c>
      <c r="T20" s="263">
        <v>684684</v>
      </c>
      <c r="U20" s="263">
        <v>1419110</v>
      </c>
      <c r="V20" s="263">
        <v>306340</v>
      </c>
      <c r="W20" s="264"/>
      <c r="X20" s="265">
        <v>3508</v>
      </c>
      <c r="Y20" s="264">
        <f>1500*180*2</f>
        <v>540000</v>
      </c>
      <c r="Z20" s="263">
        <v>902</v>
      </c>
      <c r="AA20" s="263"/>
      <c r="AB20" s="266">
        <v>1376284</v>
      </c>
      <c r="AC20" s="263">
        <v>719611</v>
      </c>
      <c r="AD20" s="263"/>
      <c r="AE20" s="263">
        <v>1030093</v>
      </c>
      <c r="AF20" s="267">
        <f>1681*2*190</f>
        <v>638780</v>
      </c>
      <c r="AG20" s="263">
        <v>852840</v>
      </c>
      <c r="AH20" s="263">
        <v>1381363</v>
      </c>
      <c r="AI20" s="263">
        <v>607240</v>
      </c>
      <c r="AJ20" s="263"/>
      <c r="AK20" s="263">
        <v>3898</v>
      </c>
      <c r="AL20" s="263">
        <v>570240</v>
      </c>
      <c r="AM20" s="263">
        <v>988</v>
      </c>
      <c r="AN20" s="263"/>
      <c r="AO20" s="266">
        <v>1514584</v>
      </c>
      <c r="AP20" s="263">
        <v>816441</v>
      </c>
      <c r="AQ20" s="263"/>
      <c r="AR20" s="263">
        <v>1176969</v>
      </c>
      <c r="AS20" s="263">
        <v>735680</v>
      </c>
      <c r="AT20" s="263">
        <v>819720</v>
      </c>
      <c r="AU20" s="263">
        <v>1449890</v>
      </c>
      <c r="AV20" s="263">
        <v>592800</v>
      </c>
      <c r="AW20" s="263"/>
      <c r="AX20" s="263">
        <v>4057</v>
      </c>
      <c r="AY20" s="263">
        <v>608400</v>
      </c>
      <c r="AZ20" s="263">
        <v>963</v>
      </c>
      <c r="BA20" s="263"/>
      <c r="BB20" s="266">
        <v>1323222</v>
      </c>
      <c r="BC20" s="262">
        <v>1019444</v>
      </c>
      <c r="BD20" s="262"/>
      <c r="BE20" s="262">
        <v>1140528</v>
      </c>
      <c r="BF20" s="262">
        <v>861080</v>
      </c>
      <c r="BG20" s="262">
        <v>870120</v>
      </c>
      <c r="BH20" s="262">
        <v>1376930</v>
      </c>
      <c r="BI20" s="262">
        <v>648660</v>
      </c>
      <c r="BJ20" s="262">
        <v>572048</v>
      </c>
      <c r="BK20" s="262">
        <v>3981</v>
      </c>
      <c r="BL20" s="262">
        <v>645840</v>
      </c>
      <c r="BM20" s="262">
        <v>1065</v>
      </c>
      <c r="BN20" s="262"/>
      <c r="BO20" s="266">
        <v>1421736</v>
      </c>
      <c r="BP20" s="300">
        <v>944281</v>
      </c>
      <c r="BQ20" s="300" t="s">
        <v>210</v>
      </c>
      <c r="BR20" s="300">
        <v>1109306</v>
      </c>
      <c r="BS20" s="300">
        <v>855380</v>
      </c>
      <c r="BT20" s="300">
        <v>486000</v>
      </c>
      <c r="BU20" s="300">
        <v>403560</v>
      </c>
      <c r="BV20" s="300">
        <v>1410728</v>
      </c>
      <c r="BW20" s="300">
        <v>733400</v>
      </c>
      <c r="BX20" s="300">
        <v>0</v>
      </c>
      <c r="BY20" s="300">
        <v>4302</v>
      </c>
      <c r="BZ20" s="300">
        <v>618120</v>
      </c>
      <c r="CA20" s="300">
        <v>335520</v>
      </c>
      <c r="CB20" s="300"/>
      <c r="CC20" s="301">
        <v>1275524</v>
      </c>
      <c r="CD20" s="308">
        <f t="shared" si="0"/>
        <v>889560</v>
      </c>
    </row>
    <row r="21" spans="1:82" x14ac:dyDescent="0.3">
      <c r="A21" s="260">
        <v>18</v>
      </c>
      <c r="B21" s="261" t="s">
        <v>25</v>
      </c>
      <c r="C21" s="262">
        <v>182653000</v>
      </c>
      <c r="D21" s="262" t="s">
        <v>29</v>
      </c>
      <c r="E21" s="262" t="s">
        <v>29</v>
      </c>
      <c r="F21" s="262">
        <v>77000000</v>
      </c>
      <c r="G21" s="263"/>
      <c r="H21" s="264">
        <v>65984005</v>
      </c>
      <c r="I21" s="264">
        <v>48496985</v>
      </c>
      <c r="J21" s="263"/>
      <c r="K21" s="268">
        <v>38336000</v>
      </c>
      <c r="L21" s="264">
        <v>94266877</v>
      </c>
      <c r="M21" s="263">
        <v>76304403</v>
      </c>
      <c r="N21" s="265">
        <v>14213064</v>
      </c>
      <c r="O21" s="266">
        <v>51972000</v>
      </c>
      <c r="P21" s="263">
        <v>209654000</v>
      </c>
      <c r="Q21" s="263"/>
      <c r="R21" s="264">
        <v>144681457</v>
      </c>
      <c r="S21" s="260">
        <v>77000000</v>
      </c>
      <c r="T21" s="263">
        <v>67275420</v>
      </c>
      <c r="U21" s="263">
        <v>61356736</v>
      </c>
      <c r="V21" s="263">
        <v>42354611</v>
      </c>
      <c r="W21" s="264">
        <v>158623322.13999999</v>
      </c>
      <c r="X21" s="268">
        <v>34685000</v>
      </c>
      <c r="Y21" s="264">
        <v>94352470</v>
      </c>
      <c r="Z21" s="263">
        <v>62626609</v>
      </c>
      <c r="AA21" s="263">
        <v>9360185</v>
      </c>
      <c r="AB21" s="266">
        <v>48942000</v>
      </c>
      <c r="AC21" s="263">
        <v>234931000</v>
      </c>
      <c r="AD21" s="263"/>
      <c r="AE21" s="263">
        <v>164690599</v>
      </c>
      <c r="AF21" s="260">
        <v>88300000</v>
      </c>
      <c r="AG21" s="263">
        <v>88334605</v>
      </c>
      <c r="AH21" s="263">
        <v>61723472</v>
      </c>
      <c r="AI21" s="263">
        <v>53239658</v>
      </c>
      <c r="AJ21" s="263">
        <v>182404820.22</v>
      </c>
      <c r="AK21" s="263">
        <v>33765000</v>
      </c>
      <c r="AL21" s="263">
        <v>99094934</v>
      </c>
      <c r="AM21" s="263">
        <v>76516273</v>
      </c>
      <c r="AN21" s="263">
        <v>8912274</v>
      </c>
      <c r="AO21" s="266">
        <v>56731000</v>
      </c>
      <c r="AP21" s="263">
        <v>241000000</v>
      </c>
      <c r="AQ21" s="263"/>
      <c r="AR21" s="263">
        <v>178580257</v>
      </c>
      <c r="AS21" s="263">
        <v>101800000</v>
      </c>
      <c r="AT21" s="263">
        <v>78723152</v>
      </c>
      <c r="AU21" s="263">
        <v>66135393</v>
      </c>
      <c r="AV21" s="263">
        <v>54438534</v>
      </c>
      <c r="AW21" s="263">
        <v>197266177.55000001</v>
      </c>
      <c r="AX21" s="263">
        <v>32213000</v>
      </c>
      <c r="AY21" s="263">
        <v>102471796</v>
      </c>
      <c r="AZ21" s="263">
        <v>78296343</v>
      </c>
      <c r="BA21" s="263">
        <v>9155096</v>
      </c>
      <c r="BB21" s="266">
        <v>56338000</v>
      </c>
      <c r="BC21" s="262">
        <v>226192000</v>
      </c>
      <c r="BD21" s="262">
        <v>5000000</v>
      </c>
      <c r="BE21" s="262">
        <v>189012724</v>
      </c>
      <c r="BF21" s="262">
        <v>111900000</v>
      </c>
      <c r="BG21" s="262">
        <v>84447895</v>
      </c>
      <c r="BH21" s="262">
        <v>70246441</v>
      </c>
      <c r="BI21" s="262">
        <v>55336248</v>
      </c>
      <c r="BJ21" s="262">
        <v>196779864.06999999</v>
      </c>
      <c r="BK21" s="262">
        <v>67270000</v>
      </c>
      <c r="BL21" s="262">
        <v>115447448</v>
      </c>
      <c r="BM21" s="262">
        <v>78908782</v>
      </c>
      <c r="BN21" s="262">
        <v>9360310</v>
      </c>
      <c r="BO21" s="266">
        <v>65980000</v>
      </c>
      <c r="BP21" s="300">
        <v>262175140</v>
      </c>
      <c r="BQ21" s="300">
        <v>38592664</v>
      </c>
      <c r="BR21" s="300">
        <v>208178830</v>
      </c>
      <c r="BS21" s="300">
        <v>120000000</v>
      </c>
      <c r="BT21" s="300">
        <v>77004113</v>
      </c>
      <c r="BU21" s="300">
        <v>20204087</v>
      </c>
      <c r="BV21" s="300">
        <v>72130032</v>
      </c>
      <c r="BW21" s="300">
        <v>59494358</v>
      </c>
      <c r="BX21" s="300">
        <v>217580219.88</v>
      </c>
      <c r="BY21" s="300">
        <v>68486141</v>
      </c>
      <c r="BZ21" s="300">
        <v>129724097</v>
      </c>
      <c r="CA21" s="300">
        <v>81115743</v>
      </c>
      <c r="CB21" s="300">
        <v>9296024</v>
      </c>
      <c r="CC21" s="301">
        <v>68696000</v>
      </c>
      <c r="CD21" s="308">
        <f t="shared" si="0"/>
        <v>97208200</v>
      </c>
    </row>
    <row r="22" spans="1:82" x14ac:dyDescent="0.3">
      <c r="A22" s="260">
        <v>19</v>
      </c>
      <c r="B22" s="269" t="s">
        <v>101</v>
      </c>
      <c r="C22" s="262">
        <v>220071000</v>
      </c>
      <c r="D22" s="262" t="s">
        <v>29</v>
      </c>
      <c r="E22" s="262" t="s">
        <v>29</v>
      </c>
      <c r="F22" s="262">
        <v>86211000</v>
      </c>
      <c r="G22" s="263"/>
      <c r="H22" s="264">
        <v>81079039</v>
      </c>
      <c r="I22" s="264">
        <v>82217000</v>
      </c>
      <c r="J22" s="263"/>
      <c r="K22" s="268">
        <v>130643556</v>
      </c>
      <c r="L22" s="264">
        <v>47666000</v>
      </c>
      <c r="M22" s="263">
        <v>26969212.399999999</v>
      </c>
      <c r="N22" s="263"/>
      <c r="O22" s="266">
        <v>44273421</v>
      </c>
      <c r="P22" s="263">
        <v>242280000</v>
      </c>
      <c r="Q22" s="263"/>
      <c r="R22" s="264">
        <v>189080058.41</v>
      </c>
      <c r="S22" s="260">
        <v>94200000</v>
      </c>
      <c r="T22" s="263">
        <v>113521000</v>
      </c>
      <c r="U22" s="263">
        <v>63245874</v>
      </c>
      <c r="V22" s="263">
        <v>78517251</v>
      </c>
      <c r="W22" s="264">
        <v>177072332.61000001</v>
      </c>
      <c r="X22" s="268">
        <v>110632113</v>
      </c>
      <c r="Y22" s="264">
        <v>46535000</v>
      </c>
      <c r="Z22" s="263">
        <v>23486313.780000001</v>
      </c>
      <c r="AA22" s="263"/>
      <c r="AB22" s="266">
        <v>42905247</v>
      </c>
      <c r="AC22" s="263">
        <v>242617000</v>
      </c>
      <c r="AD22" s="263"/>
      <c r="AE22" s="263">
        <v>191518657</v>
      </c>
      <c r="AF22" s="260">
        <v>101400000</v>
      </c>
      <c r="AG22" s="263">
        <v>126772000</v>
      </c>
      <c r="AH22" s="263">
        <v>68504033</v>
      </c>
      <c r="AI22" s="263">
        <v>97785000</v>
      </c>
      <c r="AJ22" s="263">
        <v>213491379.69999999</v>
      </c>
      <c r="AK22" s="263">
        <v>133086182</v>
      </c>
      <c r="AL22" s="263">
        <v>57171000</v>
      </c>
      <c r="AM22" s="263">
        <v>30465793.25</v>
      </c>
      <c r="AN22" s="263"/>
      <c r="AO22" s="266">
        <v>48526033</v>
      </c>
      <c r="AP22" s="263">
        <v>235930000</v>
      </c>
      <c r="AQ22" s="263"/>
      <c r="AR22" s="263">
        <v>198223890</v>
      </c>
      <c r="AS22" s="263">
        <v>125000000</v>
      </c>
      <c r="AT22" s="263">
        <v>131386000</v>
      </c>
      <c r="AU22" s="263">
        <v>78566262</v>
      </c>
      <c r="AV22" s="263">
        <v>103183570</v>
      </c>
      <c r="AW22" s="263">
        <v>244506258.77000001</v>
      </c>
      <c r="AX22" s="263">
        <v>132295884</v>
      </c>
      <c r="AY22" s="263">
        <v>98076000</v>
      </c>
      <c r="AZ22" s="263">
        <v>36415710.520000003</v>
      </c>
      <c r="BA22" s="263"/>
      <c r="BB22" s="266">
        <v>52734182</v>
      </c>
      <c r="BC22" s="262">
        <v>262091000</v>
      </c>
      <c r="BD22" s="262"/>
      <c r="BE22" s="262">
        <v>221645087</v>
      </c>
      <c r="BF22" s="262">
        <v>148000000</v>
      </c>
      <c r="BG22" s="262">
        <v>134376000</v>
      </c>
      <c r="BH22" s="262">
        <v>76844701</v>
      </c>
      <c r="BI22" s="262">
        <v>110200000</v>
      </c>
      <c r="BJ22" s="262">
        <v>282799103.56999999</v>
      </c>
      <c r="BK22" s="262">
        <v>206415273</v>
      </c>
      <c r="BL22" s="262">
        <v>126713000</v>
      </c>
      <c r="BM22" s="262">
        <v>40271064.57</v>
      </c>
      <c r="BN22" s="262"/>
      <c r="BO22" s="266">
        <v>71441926</v>
      </c>
      <c r="BP22" s="300">
        <v>274060000</v>
      </c>
      <c r="BQ22" s="300" t="s">
        <v>210</v>
      </c>
      <c r="BR22" s="300">
        <v>251818935</v>
      </c>
      <c r="BS22" s="300">
        <v>165200000</v>
      </c>
      <c r="BT22" s="300">
        <v>88746000</v>
      </c>
      <c r="BU22" s="300">
        <v>61333988</v>
      </c>
      <c r="BV22" s="300">
        <v>79823818</v>
      </c>
      <c r="BW22" s="300">
        <v>11355600</v>
      </c>
      <c r="BX22" s="300">
        <v>304872921.13</v>
      </c>
      <c r="BY22" s="300">
        <v>266870036</v>
      </c>
      <c r="BZ22" s="300">
        <v>142137000</v>
      </c>
      <c r="CA22" s="300">
        <v>41998470</v>
      </c>
      <c r="CB22" s="300"/>
      <c r="CC22" s="301">
        <v>82157920</v>
      </c>
      <c r="CD22" s="308">
        <f t="shared" si="0"/>
        <v>150079988</v>
      </c>
    </row>
    <row r="23" spans="1:82" x14ac:dyDescent="0.3">
      <c r="A23" s="260">
        <v>20</v>
      </c>
      <c r="B23" s="269" t="s">
        <v>26</v>
      </c>
      <c r="C23" s="263">
        <v>12731</v>
      </c>
      <c r="D23" s="263">
        <v>450</v>
      </c>
      <c r="E23" s="263">
        <v>7847</v>
      </c>
      <c r="F23" s="263">
        <v>5204</v>
      </c>
      <c r="G23" s="263"/>
      <c r="H23" s="264">
        <v>1146</v>
      </c>
      <c r="I23" s="270"/>
      <c r="J23" s="263"/>
      <c r="K23" s="263">
        <v>6100</v>
      </c>
      <c r="L23" s="264">
        <v>3973</v>
      </c>
      <c r="M23" s="268">
        <v>0</v>
      </c>
      <c r="N23" s="265">
        <v>3924</v>
      </c>
      <c r="O23" s="266">
        <v>1906</v>
      </c>
      <c r="P23" s="263">
        <v>13016</v>
      </c>
      <c r="Q23" s="265">
        <v>258</v>
      </c>
      <c r="R23" s="264">
        <v>7680</v>
      </c>
      <c r="S23" s="267">
        <v>4393</v>
      </c>
      <c r="T23" s="263">
        <v>5508</v>
      </c>
      <c r="U23" s="263">
        <v>1209</v>
      </c>
      <c r="V23" s="263"/>
      <c r="W23" s="264">
        <v>5000</v>
      </c>
      <c r="X23" s="263">
        <v>6696</v>
      </c>
      <c r="Y23" s="264">
        <v>4153</v>
      </c>
      <c r="Z23" s="263">
        <v>7793</v>
      </c>
      <c r="AA23" s="263">
        <v>2740</v>
      </c>
      <c r="AB23" s="266">
        <v>1660</v>
      </c>
      <c r="AC23" s="263">
        <v>15520</v>
      </c>
      <c r="AD23" s="265">
        <v>213</v>
      </c>
      <c r="AE23" s="263">
        <v>7085</v>
      </c>
      <c r="AF23" s="267">
        <v>4690</v>
      </c>
      <c r="AG23" s="263">
        <v>5737</v>
      </c>
      <c r="AH23" s="263">
        <v>1265</v>
      </c>
      <c r="AI23" s="263"/>
      <c r="AJ23" s="263">
        <v>5000</v>
      </c>
      <c r="AK23" s="263">
        <v>6434</v>
      </c>
      <c r="AL23" s="263">
        <v>3985</v>
      </c>
      <c r="AM23" s="263">
        <v>7676</v>
      </c>
      <c r="AN23" s="263">
        <v>2799</v>
      </c>
      <c r="AO23" s="266">
        <v>3101</v>
      </c>
      <c r="AP23" s="263">
        <v>14526</v>
      </c>
      <c r="AQ23" s="265">
        <v>205</v>
      </c>
      <c r="AR23" s="263">
        <v>6512</v>
      </c>
      <c r="AS23" s="263">
        <v>4959</v>
      </c>
      <c r="AT23" s="263">
        <v>6351</v>
      </c>
      <c r="AU23" s="263">
        <v>1243</v>
      </c>
      <c r="AV23" s="263">
        <v>1316</v>
      </c>
      <c r="AW23" s="263">
        <v>5000</v>
      </c>
      <c r="AX23" s="263">
        <v>6647</v>
      </c>
      <c r="AY23" s="263">
        <v>4097</v>
      </c>
      <c r="AZ23" s="263">
        <v>7863</v>
      </c>
      <c r="BA23" s="263">
        <v>2827</v>
      </c>
      <c r="BB23" s="266">
        <v>3013</v>
      </c>
      <c r="BC23" s="262">
        <v>13415</v>
      </c>
      <c r="BD23" s="285">
        <v>198</v>
      </c>
      <c r="BE23" s="262">
        <v>6421</v>
      </c>
      <c r="BF23" s="262">
        <v>4975</v>
      </c>
      <c r="BG23" s="262">
        <v>6590</v>
      </c>
      <c r="BH23" s="262">
        <v>1161</v>
      </c>
      <c r="BI23" s="262">
        <v>1235</v>
      </c>
      <c r="BJ23" s="262">
        <v>5000</v>
      </c>
      <c r="BK23" s="262">
        <v>6843</v>
      </c>
      <c r="BL23" s="262">
        <v>4094</v>
      </c>
      <c r="BM23" s="262">
        <v>7059</v>
      </c>
      <c r="BN23" s="262">
        <v>2826</v>
      </c>
      <c r="BO23" s="266">
        <v>3090</v>
      </c>
      <c r="BP23" s="300">
        <v>15504</v>
      </c>
      <c r="BQ23" s="302">
        <v>236</v>
      </c>
      <c r="BR23" s="300">
        <v>6254</v>
      </c>
      <c r="BS23" s="300">
        <v>4828</v>
      </c>
      <c r="BT23" s="300">
        <v>3858</v>
      </c>
      <c r="BU23" s="300">
        <v>2532</v>
      </c>
      <c r="BV23" s="300">
        <v>1164</v>
      </c>
      <c r="BW23" s="300">
        <v>1249</v>
      </c>
      <c r="BX23" s="300">
        <v>5000</v>
      </c>
      <c r="BY23" s="300">
        <v>6557</v>
      </c>
      <c r="BZ23" s="300">
        <v>4346</v>
      </c>
      <c r="CA23" s="300">
        <v>7161</v>
      </c>
      <c r="CB23" s="300">
        <v>2845</v>
      </c>
      <c r="CC23" s="301">
        <v>3009</v>
      </c>
      <c r="CD23" s="308">
        <f>BT23+BU23</f>
        <v>6390</v>
      </c>
    </row>
    <row r="24" spans="1:82" x14ac:dyDescent="0.3">
      <c r="A24" s="260"/>
      <c r="B24" s="271" t="s">
        <v>105</v>
      </c>
      <c r="C24" s="263"/>
      <c r="D24" s="263"/>
      <c r="E24" s="263"/>
      <c r="F24" s="263"/>
      <c r="G24" s="263"/>
      <c r="H24" s="264"/>
      <c r="I24" s="264"/>
      <c r="J24" s="263"/>
      <c r="K24" s="263"/>
      <c r="L24" s="264"/>
      <c r="M24" s="268"/>
      <c r="N24" s="265"/>
      <c r="O24" s="266"/>
      <c r="P24" s="263"/>
      <c r="Q24" s="265"/>
      <c r="R24" s="264"/>
      <c r="S24" s="267"/>
      <c r="T24" s="263"/>
      <c r="U24" s="263"/>
      <c r="V24" s="263"/>
      <c r="W24" s="264"/>
      <c r="X24" s="263"/>
      <c r="Y24" s="264"/>
      <c r="Z24" s="263"/>
      <c r="AA24" s="263"/>
      <c r="AB24" s="266"/>
      <c r="AC24" s="263"/>
      <c r="AD24" s="265"/>
      <c r="AE24" s="263"/>
      <c r="AF24" s="267"/>
      <c r="AG24" s="263"/>
      <c r="AH24" s="263"/>
      <c r="AI24" s="263"/>
      <c r="AJ24" s="263"/>
      <c r="AK24" s="263"/>
      <c r="AL24" s="263"/>
      <c r="AM24" s="263"/>
      <c r="AN24" s="263"/>
      <c r="AO24" s="266"/>
      <c r="AP24" s="263"/>
      <c r="AQ24" s="265"/>
      <c r="AR24" s="263"/>
      <c r="AS24" s="263"/>
      <c r="AT24" s="263"/>
      <c r="AU24" s="263"/>
      <c r="AV24" s="263"/>
      <c r="AW24" s="263"/>
      <c r="AX24" s="263"/>
      <c r="AY24" s="263"/>
      <c r="AZ24" s="263"/>
      <c r="BA24" s="263"/>
      <c r="BB24" s="266"/>
      <c r="BC24" s="262"/>
      <c r="BD24" s="285"/>
      <c r="BE24" s="262"/>
      <c r="BF24" s="262"/>
      <c r="BG24" s="262"/>
      <c r="BH24" s="262"/>
      <c r="BI24" s="262"/>
      <c r="BJ24" s="262"/>
      <c r="BK24" s="262"/>
      <c r="BL24" s="262"/>
      <c r="BM24" s="262"/>
      <c r="BN24" s="262"/>
      <c r="BO24" s="266"/>
      <c r="BP24" s="300"/>
      <c r="BQ24" s="302"/>
      <c r="BR24" s="300"/>
      <c r="BS24" s="300"/>
      <c r="BT24" s="300"/>
      <c r="BU24" s="300"/>
      <c r="BV24" s="300"/>
      <c r="BW24" s="300"/>
      <c r="BX24" s="300"/>
      <c r="BY24" s="300"/>
      <c r="BZ24" s="300"/>
      <c r="CA24" s="300"/>
      <c r="CB24" s="300"/>
      <c r="CC24" s="300"/>
      <c r="CD24" s="309"/>
    </row>
    <row r="25" spans="1:82" x14ac:dyDescent="0.3">
      <c r="A25" s="260"/>
      <c r="B25" s="271"/>
      <c r="C25" s="263"/>
      <c r="D25" s="263"/>
      <c r="E25" s="263"/>
      <c r="F25" s="263"/>
      <c r="G25" s="263"/>
      <c r="H25" s="264"/>
      <c r="I25" s="264"/>
      <c r="J25" s="263"/>
      <c r="K25" s="263"/>
      <c r="L25" s="264"/>
      <c r="M25" s="268"/>
      <c r="N25" s="265"/>
      <c r="O25" s="266"/>
      <c r="P25" s="263">
        <f>P7/P27</f>
        <v>966.01713546861185</v>
      </c>
      <c r="Q25" s="265"/>
      <c r="R25" s="264"/>
      <c r="S25" s="267"/>
      <c r="T25" s="263"/>
      <c r="U25" s="263"/>
      <c r="V25" s="263"/>
      <c r="W25" s="264"/>
      <c r="X25" s="263"/>
      <c r="Y25" s="264"/>
      <c r="Z25" s="263"/>
      <c r="AA25" s="263"/>
      <c r="AB25" s="266"/>
      <c r="AC25" s="263"/>
      <c r="AD25" s="265"/>
      <c r="AE25" s="263"/>
      <c r="AF25" s="267"/>
      <c r="AG25" s="263"/>
      <c r="AH25" s="263"/>
      <c r="AI25" s="263"/>
      <c r="AJ25" s="263"/>
      <c r="AK25" s="263"/>
      <c r="AL25" s="263"/>
      <c r="AM25" s="263"/>
      <c r="AN25" s="263"/>
      <c r="AO25" s="266"/>
      <c r="AP25" s="263"/>
      <c r="AQ25" s="265"/>
      <c r="AR25" s="263"/>
      <c r="AS25" s="263"/>
      <c r="AT25" s="263"/>
      <c r="AU25" s="263"/>
      <c r="AV25" s="263"/>
      <c r="AW25" s="263"/>
      <c r="AX25" s="263"/>
      <c r="AY25" s="263"/>
      <c r="AZ25" s="263"/>
      <c r="BA25" s="263"/>
      <c r="BB25" s="266"/>
      <c r="BC25" s="262"/>
      <c r="BD25" s="285"/>
      <c r="BE25" s="262"/>
      <c r="BF25" s="262"/>
      <c r="BG25" s="262"/>
      <c r="BH25" s="262"/>
      <c r="BI25" s="262"/>
      <c r="BJ25" s="262"/>
      <c r="BK25" s="262"/>
      <c r="BL25" s="262"/>
      <c r="BM25" s="262"/>
      <c r="BN25" s="262"/>
      <c r="BO25" s="266"/>
      <c r="BP25" s="300"/>
      <c r="BQ25" s="302"/>
      <c r="BR25" s="300"/>
      <c r="BS25" s="300"/>
      <c r="BT25" s="300"/>
      <c r="BU25" s="300"/>
      <c r="BV25" s="300"/>
      <c r="BW25" s="300"/>
      <c r="BX25" s="300"/>
      <c r="BY25" s="300"/>
      <c r="BZ25" s="300"/>
      <c r="CA25" s="300"/>
      <c r="CB25" s="301"/>
      <c r="CC25" s="300"/>
      <c r="CD25" s="309"/>
    </row>
    <row r="26" spans="1:82" x14ac:dyDescent="0.3">
      <c r="B26" s="23" t="s">
        <v>58</v>
      </c>
      <c r="O26" s="40"/>
      <c r="AB26" s="40"/>
      <c r="AO26" s="40"/>
      <c r="BB26" s="40"/>
      <c r="BO26" s="40"/>
      <c r="BP26" s="292"/>
      <c r="BQ26" s="292"/>
      <c r="BR26" s="292"/>
      <c r="BS26" s="292"/>
      <c r="BT26" s="292"/>
      <c r="BU26" s="292"/>
      <c r="BV26" s="292"/>
      <c r="BW26" s="292"/>
      <c r="BX26" s="292"/>
      <c r="BY26" s="292"/>
      <c r="BZ26" s="292"/>
      <c r="CA26" s="292"/>
      <c r="CB26" s="292"/>
      <c r="CC26" s="292"/>
      <c r="CD26" s="310"/>
    </row>
    <row r="27" spans="1:82" x14ac:dyDescent="0.3">
      <c r="A27" s="272">
        <v>21</v>
      </c>
      <c r="B27" s="97" t="s">
        <v>55</v>
      </c>
      <c r="C27" s="273">
        <v>1337282</v>
      </c>
      <c r="D27" s="273">
        <v>75865</v>
      </c>
      <c r="E27" s="273">
        <v>386951</v>
      </c>
      <c r="F27" s="98">
        <v>297520</v>
      </c>
      <c r="G27" s="273">
        <v>424396</v>
      </c>
      <c r="H27" s="273">
        <v>283148</v>
      </c>
      <c r="I27" s="99">
        <v>475654</v>
      </c>
      <c r="J27" s="273">
        <v>634269</v>
      </c>
      <c r="K27" s="273">
        <v>462032</v>
      </c>
      <c r="L27" s="273">
        <v>305244</v>
      </c>
      <c r="M27" s="273">
        <v>267420</v>
      </c>
      <c r="N27" s="273">
        <v>243385</v>
      </c>
      <c r="O27" s="274">
        <v>167202</v>
      </c>
      <c r="P27" s="273">
        <v>1359686</v>
      </c>
      <c r="Q27" s="273">
        <v>75472</v>
      </c>
      <c r="R27" s="273">
        <v>387285</v>
      </c>
      <c r="S27" s="98">
        <v>299447</v>
      </c>
      <c r="T27" s="273">
        <v>419396</v>
      </c>
      <c r="U27" s="273">
        <v>275526</v>
      </c>
      <c r="V27" s="99">
        <v>479892</v>
      </c>
      <c r="W27" s="273">
        <v>636531</v>
      </c>
      <c r="X27" s="273">
        <v>468702</v>
      </c>
      <c r="Y27" s="273">
        <v>307231</v>
      </c>
      <c r="Z27" s="273">
        <v>265238</v>
      </c>
      <c r="AA27" s="273">
        <v>241235</v>
      </c>
      <c r="AB27" s="274">
        <v>167839</v>
      </c>
      <c r="AC27" s="273">
        <v>1370642</v>
      </c>
      <c r="AD27" s="273">
        <v>74684</v>
      </c>
      <c r="AE27" s="273">
        <v>386532</v>
      </c>
      <c r="AF27" s="98">
        <v>301861</v>
      </c>
      <c r="AG27" s="273">
        <v>421882</v>
      </c>
      <c r="AH27" s="273">
        <v>276891</v>
      </c>
      <c r="AI27" s="99">
        <v>482645</v>
      </c>
      <c r="AJ27" s="273">
        <v>638821</v>
      </c>
      <c r="AK27" s="273">
        <v>471124</v>
      </c>
      <c r="AL27" s="273">
        <v>308843</v>
      </c>
      <c r="AM27" s="273">
        <v>265544</v>
      </c>
      <c r="AN27" s="273">
        <v>240345</v>
      </c>
      <c r="AO27" s="274">
        <v>167484</v>
      </c>
      <c r="AP27" s="273">
        <v>1385340</v>
      </c>
      <c r="AQ27" s="273">
        <v>74129</v>
      </c>
      <c r="AR27" s="273">
        <v>387305</v>
      </c>
      <c r="AS27" s="98">
        <v>304754</v>
      </c>
      <c r="AT27" s="273">
        <v>424832</v>
      </c>
      <c r="AU27" s="273">
        <v>278963</v>
      </c>
      <c r="AV27" s="99">
        <v>485797</v>
      </c>
      <c r="AW27" s="273">
        <v>641292</v>
      </c>
      <c r="AX27" s="273">
        <v>474131</v>
      </c>
      <c r="AY27" s="273">
        <v>311134</v>
      </c>
      <c r="AZ27" s="273">
        <v>265848</v>
      </c>
      <c r="BA27" s="273">
        <v>240190</v>
      </c>
      <c r="BB27" s="274">
        <v>167607</v>
      </c>
      <c r="BC27" s="273">
        <v>1408760</v>
      </c>
      <c r="BD27" s="273">
        <v>74112</v>
      </c>
      <c r="BE27" s="273">
        <v>389925</v>
      </c>
      <c r="BF27" s="273">
        <v>309161</v>
      </c>
      <c r="BG27" s="273">
        <v>429101</v>
      </c>
      <c r="BH27" s="273">
        <v>283357</v>
      </c>
      <c r="BI27" s="99">
        <v>492350</v>
      </c>
      <c r="BJ27" s="273">
        <v>646205</v>
      </c>
      <c r="BK27" s="273">
        <v>478470</v>
      </c>
      <c r="BL27" s="273">
        <v>316051</v>
      </c>
      <c r="BM27" s="273">
        <v>268365</v>
      </c>
      <c r="BN27" s="273">
        <v>241084</v>
      </c>
      <c r="BO27" s="274">
        <v>168340</v>
      </c>
      <c r="BP27" s="303">
        <f>728803+717710</f>
        <v>1446513</v>
      </c>
      <c r="BQ27" s="303">
        <v>75053</v>
      </c>
      <c r="BR27" s="303">
        <v>376304</v>
      </c>
      <c r="BS27" s="303">
        <v>312152</v>
      </c>
      <c r="BT27" s="303">
        <v>256432</v>
      </c>
      <c r="BU27" s="303">
        <v>177093</v>
      </c>
      <c r="BV27" s="303">
        <v>269819</v>
      </c>
      <c r="BW27" s="99">
        <v>499417</v>
      </c>
      <c r="BX27" s="303">
        <v>651299</v>
      </c>
      <c r="BY27" s="303">
        <v>482956</v>
      </c>
      <c r="BZ27" s="303">
        <v>319850</v>
      </c>
      <c r="CA27" s="303">
        <v>270624</v>
      </c>
      <c r="CB27" s="303">
        <v>243081</v>
      </c>
      <c r="CC27" s="303">
        <v>169610</v>
      </c>
      <c r="CD27" s="310">
        <f>BT27+BU27</f>
        <v>433525</v>
      </c>
    </row>
    <row r="28" spans="1:82" x14ac:dyDescent="0.3">
      <c r="A28" s="272">
        <v>22</v>
      </c>
      <c r="B28" s="97" t="s">
        <v>56</v>
      </c>
      <c r="C28" s="273">
        <v>5648</v>
      </c>
      <c r="D28" s="273">
        <v>48631</v>
      </c>
      <c r="E28" s="273">
        <v>52589</v>
      </c>
      <c r="F28" s="98">
        <v>4187</v>
      </c>
      <c r="G28" s="273">
        <v>17522</v>
      </c>
      <c r="H28" s="273">
        <v>14913</v>
      </c>
      <c r="I28" s="99">
        <v>9377</v>
      </c>
      <c r="J28" s="273">
        <v>34061</v>
      </c>
      <c r="K28" s="273">
        <v>41898</v>
      </c>
      <c r="L28" s="273">
        <v>16434</v>
      </c>
      <c r="M28" s="273">
        <v>14469</v>
      </c>
      <c r="N28" s="273">
        <v>38472</v>
      </c>
      <c r="O28" s="274">
        <v>25881</v>
      </c>
      <c r="P28" s="273">
        <v>5833</v>
      </c>
      <c r="Q28" s="273">
        <v>48633</v>
      </c>
      <c r="R28" s="273">
        <v>52589</v>
      </c>
      <c r="S28" s="98">
        <v>4005</v>
      </c>
      <c r="T28" s="273">
        <v>17464</v>
      </c>
      <c r="U28" s="273">
        <v>15213</v>
      </c>
      <c r="V28" s="99">
        <v>9377</v>
      </c>
      <c r="W28" s="273">
        <v>33871</v>
      </c>
      <c r="X28" s="273">
        <v>42202</v>
      </c>
      <c r="Y28" s="273">
        <v>16434</v>
      </c>
      <c r="Z28" s="273">
        <v>14356</v>
      </c>
      <c r="AA28" s="273">
        <v>38155</v>
      </c>
      <c r="AB28" s="274">
        <v>26200</v>
      </c>
      <c r="AC28" s="273">
        <v>5833</v>
      </c>
      <c r="AD28" s="275">
        <v>48633</v>
      </c>
      <c r="AE28" s="273">
        <v>52589</v>
      </c>
      <c r="AF28" s="98">
        <v>4005</v>
      </c>
      <c r="AG28" s="273">
        <v>17465</v>
      </c>
      <c r="AH28" s="273">
        <v>15213</v>
      </c>
      <c r="AI28" s="99">
        <v>9378</v>
      </c>
      <c r="AJ28" s="273">
        <v>33871</v>
      </c>
      <c r="AK28" s="273">
        <v>42201</v>
      </c>
      <c r="AL28" s="273">
        <v>16434</v>
      </c>
      <c r="AM28" s="273">
        <v>14355</v>
      </c>
      <c r="AN28" s="273">
        <v>38155</v>
      </c>
      <c r="AO28" s="274">
        <v>26200</v>
      </c>
      <c r="AP28" s="273">
        <v>5833</v>
      </c>
      <c r="AQ28" s="273">
        <v>48634</v>
      </c>
      <c r="AR28" s="273">
        <v>52588</v>
      </c>
      <c r="AS28" s="98">
        <v>4005</v>
      </c>
      <c r="AT28" s="273">
        <v>17465</v>
      </c>
      <c r="AU28" s="273">
        <v>15213</v>
      </c>
      <c r="AV28" s="99">
        <v>9378</v>
      </c>
      <c r="AW28" s="273">
        <v>33871</v>
      </c>
      <c r="AX28" s="273">
        <v>42202</v>
      </c>
      <c r="AY28" s="273">
        <v>16434</v>
      </c>
      <c r="AZ28" s="273">
        <v>14356</v>
      </c>
      <c r="BA28" s="273">
        <v>38155</v>
      </c>
      <c r="BB28" s="274">
        <v>26199</v>
      </c>
      <c r="BC28" s="273">
        <v>5832</v>
      </c>
      <c r="BD28" s="273">
        <v>48637</v>
      </c>
      <c r="BE28" s="273">
        <v>52587</v>
      </c>
      <c r="BF28" s="273">
        <v>4005</v>
      </c>
      <c r="BG28" s="273">
        <v>17465</v>
      </c>
      <c r="BH28" s="273">
        <v>15213</v>
      </c>
      <c r="BI28" s="99">
        <v>9378</v>
      </c>
      <c r="BJ28" s="273">
        <v>33871</v>
      </c>
      <c r="BK28" s="273">
        <v>42202</v>
      </c>
      <c r="BL28" s="273">
        <v>16434</v>
      </c>
      <c r="BM28" s="273">
        <v>14356</v>
      </c>
      <c r="BN28" s="273">
        <v>38155</v>
      </c>
      <c r="BO28" s="274">
        <v>26191</v>
      </c>
      <c r="BP28" s="303">
        <f>5895+454</f>
        <v>6349</v>
      </c>
      <c r="BQ28" s="303">
        <v>48637</v>
      </c>
      <c r="BR28" s="303">
        <v>52072</v>
      </c>
      <c r="BS28" s="303">
        <v>4004</v>
      </c>
      <c r="BT28" s="303">
        <v>2168</v>
      </c>
      <c r="BU28" s="303">
        <v>15298</v>
      </c>
      <c r="BV28" s="303">
        <v>14694</v>
      </c>
      <c r="BW28" s="99">
        <v>9377</v>
      </c>
      <c r="BX28" s="303">
        <v>33871</v>
      </c>
      <c r="BY28" s="303">
        <v>42202</v>
      </c>
      <c r="BZ28" s="303">
        <v>16434</v>
      </c>
      <c r="CA28" s="303">
        <v>14356</v>
      </c>
      <c r="CB28" s="303">
        <v>38155</v>
      </c>
      <c r="CC28" s="303">
        <v>26189</v>
      </c>
      <c r="CD28" s="310">
        <f>BT28+BU28</f>
        <v>17466</v>
      </c>
    </row>
    <row r="29" spans="1:82" x14ac:dyDescent="0.3">
      <c r="A29" s="272">
        <v>23</v>
      </c>
      <c r="B29" s="100" t="s">
        <v>57</v>
      </c>
      <c r="C29" s="273">
        <f>C27/C28</f>
        <v>236.7708923512748</v>
      </c>
      <c r="D29" s="273">
        <f>D27/D28</f>
        <v>1.5600131603298308</v>
      </c>
      <c r="E29" s="273">
        <f>E27/E28</f>
        <v>7.3580216395063607</v>
      </c>
      <c r="F29" s="273">
        <f>F27/F28</f>
        <v>71.058036780511102</v>
      </c>
      <c r="G29" s="273">
        <f t="shared" ref="G29:R29" si="3">G27/G28</f>
        <v>24.220751055815548</v>
      </c>
      <c r="H29" s="273">
        <f t="shared" si="3"/>
        <v>18.986655937772412</v>
      </c>
      <c r="I29" s="273">
        <f t="shared" si="3"/>
        <v>50.7256052042231</v>
      </c>
      <c r="J29" s="273">
        <f t="shared" si="3"/>
        <v>18.621561316461641</v>
      </c>
      <c r="K29" s="273">
        <f t="shared" si="3"/>
        <v>11.027543080815313</v>
      </c>
      <c r="L29" s="273">
        <f t="shared" si="3"/>
        <v>18.57393209200438</v>
      </c>
      <c r="M29" s="273">
        <f t="shared" si="3"/>
        <v>18.482272444536594</v>
      </c>
      <c r="N29" s="273">
        <f t="shared" si="3"/>
        <v>6.3262892493241836</v>
      </c>
      <c r="O29" s="274">
        <f t="shared" si="3"/>
        <v>6.4604149762373941</v>
      </c>
      <c r="P29" s="273">
        <f t="shared" si="3"/>
        <v>233.10234870564031</v>
      </c>
      <c r="Q29" s="273">
        <f t="shared" si="3"/>
        <v>1.5518680731190755</v>
      </c>
      <c r="R29" s="273">
        <f t="shared" si="3"/>
        <v>7.36437277757706</v>
      </c>
      <c r="S29" s="273">
        <f>S27/S28</f>
        <v>74.768289637952563</v>
      </c>
      <c r="T29" s="273">
        <f t="shared" ref="T29:AF29" si="4">T27/T28</f>
        <v>24.014887769125057</v>
      </c>
      <c r="U29" s="273">
        <f t="shared" si="4"/>
        <v>18.1112206665352</v>
      </c>
      <c r="V29" s="273">
        <f t="shared" si="4"/>
        <v>51.177562120081049</v>
      </c>
      <c r="W29" s="273">
        <f t="shared" si="4"/>
        <v>18.792802102093237</v>
      </c>
      <c r="X29" s="273">
        <f t="shared" si="4"/>
        <v>11.10615610634567</v>
      </c>
      <c r="Y29" s="273">
        <f t="shared" si="4"/>
        <v>18.694839965924302</v>
      </c>
      <c r="Z29" s="273">
        <f t="shared" si="4"/>
        <v>18.475759264419057</v>
      </c>
      <c r="AA29" s="273">
        <f t="shared" si="4"/>
        <v>6.3225003276110598</v>
      </c>
      <c r="AB29" s="274">
        <f t="shared" si="4"/>
        <v>6.4060687022900762</v>
      </c>
      <c r="AC29" s="273">
        <f t="shared" si="4"/>
        <v>234.98062746442653</v>
      </c>
      <c r="AD29" s="273">
        <f t="shared" si="4"/>
        <v>1.5356650833795982</v>
      </c>
      <c r="AE29" s="273">
        <f t="shared" si="4"/>
        <v>7.3500541938428192</v>
      </c>
      <c r="AF29" s="273">
        <f t="shared" si="4"/>
        <v>75.371036204744073</v>
      </c>
      <c r="AG29" s="273">
        <f t="shared" ref="AG29:AS29" si="5">AG27/AG28</f>
        <v>24.155854566275409</v>
      </c>
      <c r="AH29" s="273">
        <f t="shared" si="5"/>
        <v>18.200946558864128</v>
      </c>
      <c r="AI29" s="273">
        <f t="shared" si="5"/>
        <v>51.46566432075069</v>
      </c>
      <c r="AJ29" s="273">
        <f t="shared" si="5"/>
        <v>18.860411561512798</v>
      </c>
      <c r="AK29" s="273">
        <f t="shared" si="5"/>
        <v>11.163811284092795</v>
      </c>
      <c r="AL29" s="273">
        <f t="shared" si="5"/>
        <v>18.792929292929294</v>
      </c>
      <c r="AM29" s="273">
        <f t="shared" si="5"/>
        <v>18.49836293974225</v>
      </c>
      <c r="AN29" s="273">
        <f t="shared" si="5"/>
        <v>6.2991744201284234</v>
      </c>
      <c r="AO29" s="274">
        <f t="shared" si="5"/>
        <v>6.3925190839694652</v>
      </c>
      <c r="AP29" s="273">
        <f t="shared" si="5"/>
        <v>237.50042859591977</v>
      </c>
      <c r="AQ29" s="273">
        <f t="shared" si="5"/>
        <v>1.5242217378788503</v>
      </c>
      <c r="AR29" s="273">
        <f t="shared" si="5"/>
        <v>7.3648931315128925</v>
      </c>
      <c r="AS29" s="273">
        <f t="shared" si="5"/>
        <v>76.09338327091136</v>
      </c>
      <c r="AT29" s="273">
        <f t="shared" ref="AT29:BF29" si="6">AT27/AT28</f>
        <v>24.324763813340969</v>
      </c>
      <c r="AU29" s="273">
        <f t="shared" si="6"/>
        <v>18.337145862091631</v>
      </c>
      <c r="AV29" s="273">
        <f t="shared" si="6"/>
        <v>51.801770100234592</v>
      </c>
      <c r="AW29" s="273">
        <f t="shared" si="6"/>
        <v>18.933364825366834</v>
      </c>
      <c r="AX29" s="273">
        <f t="shared" si="6"/>
        <v>11.23479929861144</v>
      </c>
      <c r="AY29" s="273">
        <f t="shared" si="6"/>
        <v>18.932335402214921</v>
      </c>
      <c r="AZ29" s="273">
        <f t="shared" si="6"/>
        <v>18.518250208971857</v>
      </c>
      <c r="BA29" s="273">
        <f t="shared" si="6"/>
        <v>6.2951120429825709</v>
      </c>
      <c r="BB29" s="274">
        <f t="shared" si="6"/>
        <v>6.3974579182411544</v>
      </c>
      <c r="BC29" s="273">
        <f t="shared" si="6"/>
        <v>241.55692729766804</v>
      </c>
      <c r="BD29" s="273">
        <f t="shared" si="6"/>
        <v>1.5237781935563459</v>
      </c>
      <c r="BE29" s="273">
        <f t="shared" si="6"/>
        <v>7.4148553825089847</v>
      </c>
      <c r="BF29" s="273">
        <f t="shared" si="6"/>
        <v>77.193757802746561</v>
      </c>
      <c r="BG29" s="273">
        <f t="shared" ref="BG29:BO29" si="7">BG27/BG28</f>
        <v>24.569195533924994</v>
      </c>
      <c r="BH29" s="273">
        <f t="shared" si="7"/>
        <v>18.625977782159996</v>
      </c>
      <c r="BI29" s="273">
        <f t="shared" si="7"/>
        <v>52.500533162721261</v>
      </c>
      <c r="BJ29" s="273">
        <f t="shared" si="7"/>
        <v>19.078415163414132</v>
      </c>
      <c r="BK29" s="273">
        <f t="shared" si="7"/>
        <v>11.337614331074356</v>
      </c>
      <c r="BL29" s="273">
        <f t="shared" si="7"/>
        <v>19.231532189363513</v>
      </c>
      <c r="BM29" s="273">
        <f t="shared" si="7"/>
        <v>18.693577598216773</v>
      </c>
      <c r="BN29" s="273">
        <f t="shared" si="7"/>
        <v>6.3185427860044552</v>
      </c>
      <c r="BO29" s="274">
        <f t="shared" si="7"/>
        <v>6.427398724752778</v>
      </c>
      <c r="BP29" s="303">
        <f>BP27/BP28</f>
        <v>227.83320207906758</v>
      </c>
      <c r="BQ29" s="303">
        <f t="shared" ref="BQ29:CD29" si="8">BQ27/BQ28</f>
        <v>1.5431256039640602</v>
      </c>
      <c r="BR29" s="303">
        <f t="shared" si="8"/>
        <v>7.2266093101858964</v>
      </c>
      <c r="BS29" s="303">
        <f t="shared" si="8"/>
        <v>77.960039960039964</v>
      </c>
      <c r="BT29" s="303">
        <f t="shared" si="8"/>
        <v>118.28044280442805</v>
      </c>
      <c r="BU29" s="303">
        <f t="shared" si="8"/>
        <v>11.576219113609621</v>
      </c>
      <c r="BV29" s="303">
        <f t="shared" si="8"/>
        <v>18.362528923370082</v>
      </c>
      <c r="BW29" s="303">
        <f t="shared" si="8"/>
        <v>53.25978457928975</v>
      </c>
      <c r="BX29" s="303">
        <f t="shared" si="8"/>
        <v>19.228809305895901</v>
      </c>
      <c r="BY29" s="303">
        <f t="shared" si="8"/>
        <v>11.44391261077674</v>
      </c>
      <c r="BZ29" s="303">
        <f t="shared" si="8"/>
        <v>19.462699281976391</v>
      </c>
      <c r="CA29" s="303">
        <f t="shared" si="8"/>
        <v>18.850933407634439</v>
      </c>
      <c r="CB29" s="303">
        <f t="shared" si="8"/>
        <v>6.3708819289739225</v>
      </c>
      <c r="CC29" s="303">
        <f t="shared" si="8"/>
        <v>6.476383214326626</v>
      </c>
      <c r="CD29" s="310">
        <f t="shared" si="8"/>
        <v>24.821080957288448</v>
      </c>
    </row>
    <row r="30" spans="1:82" ht="13" x14ac:dyDescent="0.3">
      <c r="A30" s="2"/>
      <c r="B30" s="101" t="s">
        <v>36</v>
      </c>
      <c r="O30" s="40"/>
      <c r="AB30" s="40"/>
      <c r="AO30" s="40"/>
      <c r="BB30" s="40"/>
      <c r="BO30" s="40"/>
      <c r="BP30" s="292"/>
      <c r="BQ30" s="292"/>
      <c r="BR30" s="292"/>
      <c r="BS30" s="292"/>
      <c r="BT30" s="292"/>
      <c r="BU30" s="292"/>
      <c r="BV30" s="292"/>
      <c r="BW30" s="292"/>
      <c r="BX30" s="292"/>
      <c r="BY30" s="292"/>
      <c r="BZ30" s="292"/>
      <c r="CA30" s="292"/>
      <c r="CB30" s="292"/>
      <c r="CC30" s="292"/>
      <c r="CD30" s="310"/>
    </row>
    <row r="31" spans="1:82" x14ac:dyDescent="0.3">
      <c r="A31" s="2">
        <v>24</v>
      </c>
      <c r="B31" s="20" t="s">
        <v>35</v>
      </c>
      <c r="C31" s="85">
        <f t="shared" ref="C31" si="9">(C7/C5)*100</f>
        <v>41.806147819843389</v>
      </c>
      <c r="D31" s="85">
        <f t="shared" ref="D31:BO31" si="10">(D7/D5)*100</f>
        <v>20.706303667390625</v>
      </c>
      <c r="E31" s="85"/>
      <c r="F31" s="85">
        <f t="shared" si="10"/>
        <v>13.406381841433173</v>
      </c>
      <c r="G31" s="85">
        <f t="shared" si="10"/>
        <v>21.532061012100755</v>
      </c>
      <c r="H31" s="85">
        <f t="shared" si="10"/>
        <v>23.942508448273301</v>
      </c>
      <c r="I31" s="85">
        <f t="shared" si="10"/>
        <v>15.931443886272751</v>
      </c>
      <c r="J31" s="85"/>
      <c r="K31" s="85">
        <f t="shared" si="10"/>
        <v>34.056403108667297</v>
      </c>
      <c r="L31" s="85">
        <f t="shared" si="10"/>
        <v>23.856568093430422</v>
      </c>
      <c r="M31" s="85">
        <f t="shared" si="10"/>
        <v>7.0467804465962267</v>
      </c>
      <c r="N31" s="85">
        <f t="shared" si="10"/>
        <v>15.232126573024113</v>
      </c>
      <c r="O31" s="277">
        <f t="shared" si="10"/>
        <v>29.703118804554734</v>
      </c>
      <c r="P31" s="85">
        <f t="shared" si="10"/>
        <v>23.395058058083357</v>
      </c>
      <c r="Q31" s="85">
        <f t="shared" si="10"/>
        <v>15.706828107950463</v>
      </c>
      <c r="R31" s="85">
        <f t="shared" si="10"/>
        <v>13.26672597584172</v>
      </c>
      <c r="S31" s="85">
        <f t="shared" si="10"/>
        <v>11.420154538257865</v>
      </c>
      <c r="T31" s="85">
        <f t="shared" si="10"/>
        <v>15.338891220435746</v>
      </c>
      <c r="U31" s="85">
        <f t="shared" si="10"/>
        <v>20.981173622143263</v>
      </c>
      <c r="V31" s="85">
        <f t="shared" si="10"/>
        <v>14.757751042071485</v>
      </c>
      <c r="W31" s="85">
        <f t="shared" si="10"/>
        <v>18.550534124867099</v>
      </c>
      <c r="X31" s="85">
        <f t="shared" si="10"/>
        <v>23.094454296241867</v>
      </c>
      <c r="Y31" s="85">
        <f t="shared" si="10"/>
        <v>16.249707687103335</v>
      </c>
      <c r="Z31" s="85">
        <f t="shared" si="10"/>
        <v>4.8514421598830673</v>
      </c>
      <c r="AA31" s="85">
        <f t="shared" si="10"/>
        <v>11.702807342075021</v>
      </c>
      <c r="AB31" s="277">
        <f t="shared" si="10"/>
        <v>23.188450806723601</v>
      </c>
      <c r="AC31" s="85">
        <f t="shared" si="10"/>
        <v>23.78696437207384</v>
      </c>
      <c r="AD31" s="85">
        <f t="shared" si="10"/>
        <v>12.851467951810697</v>
      </c>
      <c r="AE31" s="85">
        <f t="shared" si="10"/>
        <v>13.4088185412635</v>
      </c>
      <c r="AF31" s="85">
        <f t="shared" si="10"/>
        <v>12.479768802471312</v>
      </c>
      <c r="AG31" s="85">
        <f t="shared" si="10"/>
        <v>14.624589683865496</v>
      </c>
      <c r="AH31" s="85">
        <f t="shared" si="10"/>
        <v>21.646698978443929</v>
      </c>
      <c r="AI31" s="85">
        <f t="shared" si="10"/>
        <v>13.36350261166711</v>
      </c>
      <c r="AJ31" s="85">
        <f t="shared" si="10"/>
        <v>23.394425794495593</v>
      </c>
      <c r="AK31" s="85">
        <f t="shared" si="10"/>
        <v>25.375686118143648</v>
      </c>
      <c r="AL31" s="85">
        <f t="shared" si="10"/>
        <v>16.13129289059518</v>
      </c>
      <c r="AM31" s="85">
        <f t="shared" si="10"/>
        <v>4.7002341309347866</v>
      </c>
      <c r="AN31" s="85">
        <f t="shared" si="10"/>
        <v>12.960593171525945</v>
      </c>
      <c r="AO31" s="277">
        <f t="shared" si="10"/>
        <v>23.792546894565373</v>
      </c>
      <c r="AP31" s="85">
        <f t="shared" si="10"/>
        <v>24.230500110547464</v>
      </c>
      <c r="AQ31" s="85">
        <f t="shared" si="10"/>
        <v>14.288044946688029</v>
      </c>
      <c r="AR31" s="85">
        <f t="shared" si="10"/>
        <v>15.31388789216127</v>
      </c>
      <c r="AS31" s="85">
        <f t="shared" si="10"/>
        <v>14.860654993059628</v>
      </c>
      <c r="AT31" s="85">
        <f t="shared" si="10"/>
        <v>18.737492563503679</v>
      </c>
      <c r="AU31" s="85">
        <f t="shared" si="10"/>
        <v>23.752999839050538</v>
      </c>
      <c r="AV31" s="85">
        <f t="shared" si="10"/>
        <v>17.009440936547701</v>
      </c>
      <c r="AW31" s="85">
        <f t="shared" si="10"/>
        <v>23.518085632004698</v>
      </c>
      <c r="AX31" s="85">
        <f t="shared" si="10"/>
        <v>23.448139800588173</v>
      </c>
      <c r="AY31" s="85">
        <f t="shared" si="10"/>
        <v>20.724483164766362</v>
      </c>
      <c r="AZ31" s="85">
        <f t="shared" si="10"/>
        <v>5.8025848002850049</v>
      </c>
      <c r="BA31" s="85">
        <f t="shared" si="10"/>
        <v>13.862925838254531</v>
      </c>
      <c r="BB31" s="277">
        <f t="shared" si="10"/>
        <v>25.10372328898729</v>
      </c>
      <c r="BC31" s="85">
        <f t="shared" si="10"/>
        <v>26.903842428207486</v>
      </c>
      <c r="BD31" s="85">
        <f t="shared" si="10"/>
        <v>15.62872842460088</v>
      </c>
      <c r="BE31" s="85">
        <f t="shared" si="10"/>
        <v>16.842884639972201</v>
      </c>
      <c r="BF31" s="85">
        <f t="shared" si="10"/>
        <v>15.355995915397058</v>
      </c>
      <c r="BG31" s="85">
        <f t="shared" si="10"/>
        <v>21.035553943834717</v>
      </c>
      <c r="BH31" s="85">
        <f t="shared" si="10"/>
        <v>23.737564892041007</v>
      </c>
      <c r="BI31" s="85">
        <f t="shared" si="10"/>
        <v>19.249642568194925</v>
      </c>
      <c r="BJ31" s="85">
        <f t="shared" si="10"/>
        <v>24.429643072819072</v>
      </c>
      <c r="BK31" s="85">
        <f t="shared" si="10"/>
        <v>37.215610378530855</v>
      </c>
      <c r="BL31" s="85">
        <f t="shared" si="10"/>
        <v>22.490107212587652</v>
      </c>
      <c r="BM31" s="85">
        <f t="shared" si="10"/>
        <v>7.6936144726042199</v>
      </c>
      <c r="BN31" s="85">
        <f t="shared" si="10"/>
        <v>15.770155676816062</v>
      </c>
      <c r="BO31" s="277">
        <f t="shared" si="10"/>
        <v>25.432033607838513</v>
      </c>
      <c r="BP31" s="304">
        <f t="shared" ref="BP31:CB31" si="11">(BP7/BP5)*100</f>
        <v>28.234799240572027</v>
      </c>
      <c r="BQ31" s="304">
        <f t="shared" si="11"/>
        <v>16.400858585617932</v>
      </c>
      <c r="BR31" s="304">
        <f t="shared" si="11"/>
        <v>17.246975372812511</v>
      </c>
      <c r="BS31" s="304">
        <f t="shared" si="11"/>
        <v>15.569687946986633</v>
      </c>
      <c r="BT31" s="304">
        <f t="shared" si="11"/>
        <v>18.867806099131794</v>
      </c>
      <c r="BU31" s="304">
        <f t="shared" si="11"/>
        <v>31.82645043436748</v>
      </c>
      <c r="BV31" s="304">
        <f t="shared" si="11"/>
        <v>25.262848459709275</v>
      </c>
      <c r="BW31" s="304">
        <f t="shared" si="11"/>
        <v>19.008232196316651</v>
      </c>
      <c r="BX31" s="304">
        <f t="shared" si="11"/>
        <v>28.637161762489917</v>
      </c>
      <c r="BY31" s="304">
        <f t="shared" si="11"/>
        <v>38.308658531225475</v>
      </c>
      <c r="BZ31" s="304">
        <f t="shared" si="11"/>
        <v>22.402103274001352</v>
      </c>
      <c r="CA31" s="304">
        <f t="shared" si="11"/>
        <v>6.9345721733222305</v>
      </c>
      <c r="CB31" s="304">
        <f t="shared" si="11"/>
        <v>15.784938070984882</v>
      </c>
      <c r="CC31" s="304">
        <f>(CC7/CC5)*100</f>
        <v>25.182699227751783</v>
      </c>
      <c r="CD31" s="311">
        <f>(CD7/CD5)*100</f>
        <v>25.074715584205805</v>
      </c>
    </row>
    <row r="32" spans="1:82" x14ac:dyDescent="0.3">
      <c r="A32" s="2">
        <v>25</v>
      </c>
      <c r="B32" s="20" t="s">
        <v>102</v>
      </c>
      <c r="C32" s="85">
        <f>C17-C14</f>
        <v>4507057000</v>
      </c>
      <c r="D32" s="85">
        <f t="shared" ref="D32:BO32" si="12">D17-D14</f>
        <v>397142007</v>
      </c>
      <c r="E32" s="85">
        <f t="shared" si="12"/>
        <v>789400000</v>
      </c>
      <c r="F32" s="85">
        <f t="shared" si="12"/>
        <v>459100000</v>
      </c>
      <c r="G32" s="85">
        <f t="shared" si="12"/>
        <v>0</v>
      </c>
      <c r="H32" s="85">
        <f t="shared" si="12"/>
        <v>558668603</v>
      </c>
      <c r="I32" s="85">
        <f t="shared" si="12"/>
        <v>1033290620</v>
      </c>
      <c r="J32" s="85"/>
      <c r="K32" s="85">
        <f t="shared" si="12"/>
        <v>849852020.17857146</v>
      </c>
      <c r="L32" s="85">
        <f t="shared" si="12"/>
        <v>654547183</v>
      </c>
      <c r="M32" s="85">
        <f t="shared" si="12"/>
        <v>516959988.41999996</v>
      </c>
      <c r="N32" s="85">
        <f t="shared" si="12"/>
        <v>714570020</v>
      </c>
      <c r="O32" s="277">
        <f t="shared" si="12"/>
        <v>450290706.13980246</v>
      </c>
      <c r="P32" s="85">
        <f t="shared" si="12"/>
        <v>6676914254</v>
      </c>
      <c r="Q32" s="85">
        <f t="shared" si="12"/>
        <v>420495984</v>
      </c>
      <c r="R32" s="85">
        <f t="shared" si="12"/>
        <v>803000000</v>
      </c>
      <c r="S32" s="85">
        <f t="shared" si="12"/>
        <v>510200000</v>
      </c>
      <c r="T32" s="85">
        <f t="shared" si="12"/>
        <v>719602219.33333325</v>
      </c>
      <c r="U32" s="85">
        <f t="shared" si="12"/>
        <v>624503937</v>
      </c>
      <c r="V32" s="85">
        <f t="shared" si="12"/>
        <v>1404574785</v>
      </c>
      <c r="W32" s="85">
        <f t="shared" si="12"/>
        <v>2366525364</v>
      </c>
      <c r="X32" s="85">
        <f t="shared" si="12"/>
        <v>1312936055.6071429</v>
      </c>
      <c r="Y32" s="85">
        <f t="shared" si="12"/>
        <v>730330511</v>
      </c>
      <c r="Z32" s="85">
        <f t="shared" si="12"/>
        <v>610263177</v>
      </c>
      <c r="AA32" s="85">
        <f t="shared" si="12"/>
        <v>808089347</v>
      </c>
      <c r="AB32" s="277">
        <f t="shared" si="12"/>
        <v>590835577.3985796</v>
      </c>
      <c r="AC32" s="85">
        <f t="shared" si="12"/>
        <v>6676914254</v>
      </c>
      <c r="AD32" s="85">
        <f t="shared" si="12"/>
        <v>432812443</v>
      </c>
      <c r="AE32" s="85">
        <f t="shared" si="12"/>
        <v>835746329</v>
      </c>
      <c r="AF32" s="85">
        <f t="shared" si="12"/>
        <v>465700000</v>
      </c>
      <c r="AG32" s="85">
        <f t="shared" si="12"/>
        <v>728650112.58139527</v>
      </c>
      <c r="AH32" s="85">
        <f t="shared" si="12"/>
        <v>626682269</v>
      </c>
      <c r="AI32" s="85">
        <f t="shared" si="12"/>
        <v>1596756727</v>
      </c>
      <c r="AJ32" s="85">
        <f t="shared" si="12"/>
        <v>2303322578</v>
      </c>
      <c r="AK32" s="85">
        <f t="shared" si="12"/>
        <v>1249026585.25</v>
      </c>
      <c r="AL32" s="85">
        <f t="shared" si="12"/>
        <v>746141255</v>
      </c>
      <c r="AM32" s="85">
        <f t="shared" si="12"/>
        <v>572212675</v>
      </c>
      <c r="AN32" s="85">
        <f t="shared" si="12"/>
        <v>827513388</v>
      </c>
      <c r="AO32" s="277">
        <f t="shared" si="12"/>
        <v>572833632.0574075</v>
      </c>
      <c r="AP32" s="85">
        <f t="shared" si="12"/>
        <v>6609696000</v>
      </c>
      <c r="AQ32" s="85" t="e">
        <f t="shared" si="12"/>
        <v>#VALUE!</v>
      </c>
      <c r="AR32" s="85">
        <f t="shared" si="12"/>
        <v>836051356</v>
      </c>
      <c r="AS32" s="85">
        <f t="shared" si="12"/>
        <v>528200000</v>
      </c>
      <c r="AT32" s="85">
        <f t="shared" si="12"/>
        <v>740758528.67857146</v>
      </c>
      <c r="AU32" s="85">
        <f t="shared" si="12"/>
        <v>654731305</v>
      </c>
      <c r="AV32" s="85">
        <f t="shared" si="12"/>
        <v>1624484035</v>
      </c>
      <c r="AW32" s="85">
        <f t="shared" si="12"/>
        <v>2188308747</v>
      </c>
      <c r="AX32" s="85">
        <f t="shared" si="12"/>
        <v>1242987733.4285715</v>
      </c>
      <c r="AY32" s="85">
        <f t="shared" si="12"/>
        <v>764625711</v>
      </c>
      <c r="AZ32" s="85">
        <f t="shared" si="12"/>
        <v>621796683</v>
      </c>
      <c r="BA32" s="85">
        <f t="shared" si="12"/>
        <v>876163638</v>
      </c>
      <c r="BB32" s="277">
        <f t="shared" si="12"/>
        <v>581594871.88380814</v>
      </c>
      <c r="BC32" s="85">
        <f t="shared" si="12"/>
        <v>7269285000</v>
      </c>
      <c r="BD32" s="85">
        <f t="shared" si="12"/>
        <v>522881399</v>
      </c>
      <c r="BE32" s="85">
        <f t="shared" si="12"/>
        <v>894940526</v>
      </c>
      <c r="BF32" s="85">
        <f t="shared" si="12"/>
        <v>612100000.00000012</v>
      </c>
      <c r="BG32" s="85">
        <f t="shared" si="12"/>
        <v>815720576.25</v>
      </c>
      <c r="BH32" s="85">
        <f t="shared" si="12"/>
        <v>727792643</v>
      </c>
      <c r="BI32" s="85">
        <f t="shared" si="12"/>
        <v>1722134712</v>
      </c>
      <c r="BJ32" s="85">
        <f t="shared" si="12"/>
        <v>2477676777</v>
      </c>
      <c r="BK32" s="85">
        <f t="shared" si="12"/>
        <v>1375144482.1785715</v>
      </c>
      <c r="BL32" s="85">
        <f t="shared" si="12"/>
        <v>839569116</v>
      </c>
      <c r="BM32" s="85">
        <f t="shared" si="12"/>
        <v>662601247</v>
      </c>
      <c r="BN32" s="85">
        <f t="shared" si="12"/>
        <v>1042012550</v>
      </c>
      <c r="BO32" s="277">
        <f t="shared" si="12"/>
        <v>666272588.69965172</v>
      </c>
      <c r="BP32" s="304">
        <f t="shared" ref="BP32:CD32" si="13">BP17-BP14</f>
        <v>7294599198.2350149</v>
      </c>
      <c r="BQ32" s="304">
        <f t="shared" si="13"/>
        <v>505580947</v>
      </c>
      <c r="BR32" s="304">
        <f t="shared" si="13"/>
        <v>919792545</v>
      </c>
      <c r="BS32" s="304">
        <f t="shared" si="13"/>
        <v>625700000</v>
      </c>
      <c r="BT32" s="304">
        <f t="shared" si="13"/>
        <v>467938669</v>
      </c>
      <c r="BU32" s="304">
        <f t="shared" si="13"/>
        <v>381557452.67857146</v>
      </c>
      <c r="BV32" s="304">
        <f t="shared" si="13"/>
        <v>719369330</v>
      </c>
      <c r="BW32" s="304">
        <f t="shared" si="13"/>
        <v>1827406528</v>
      </c>
      <c r="BX32" s="304">
        <f t="shared" si="13"/>
        <v>2220332576.4900002</v>
      </c>
      <c r="BY32" s="304">
        <f t="shared" si="13"/>
        <v>1314833020.6785715</v>
      </c>
      <c r="BZ32" s="304">
        <f t="shared" si="13"/>
        <v>897872410.52920103</v>
      </c>
      <c r="CA32" s="304">
        <f t="shared" si="13"/>
        <v>737686815</v>
      </c>
      <c r="CB32" s="304">
        <f t="shared" si="13"/>
        <v>1159469269</v>
      </c>
      <c r="CC32" s="304">
        <f t="shared" si="13"/>
        <v>729806610</v>
      </c>
      <c r="CD32" s="311">
        <f t="shared" si="13"/>
        <v>849496121.67857146</v>
      </c>
    </row>
    <row r="33" spans="1:82" x14ac:dyDescent="0.3">
      <c r="A33" s="2">
        <v>26</v>
      </c>
      <c r="B33" s="20" t="s">
        <v>38</v>
      </c>
      <c r="C33" s="85">
        <f>(C13/C17)*100</f>
        <v>42.810941028814469</v>
      </c>
      <c r="D33" s="85">
        <f t="shared" ref="D33:BO33" si="14">(D13/D17)*100</f>
        <v>100</v>
      </c>
      <c r="E33" s="85">
        <f t="shared" si="14"/>
        <v>67.433241471063383</v>
      </c>
      <c r="F33" s="85">
        <f t="shared" si="14"/>
        <v>74.979585170667974</v>
      </c>
      <c r="G33" s="85"/>
      <c r="H33" s="85">
        <f t="shared" si="14"/>
        <v>64.427474060149976</v>
      </c>
      <c r="I33" s="85">
        <f t="shared" si="14"/>
        <v>69.151881124640937</v>
      </c>
      <c r="J33" s="85"/>
      <c r="K33" s="85">
        <f t="shared" si="14"/>
        <v>56.260161289250277</v>
      </c>
      <c r="L33" s="85">
        <f t="shared" si="14"/>
        <v>61.017238501016294</v>
      </c>
      <c r="M33" s="85">
        <f t="shared" si="14"/>
        <v>63.194046146870399</v>
      </c>
      <c r="N33" s="85">
        <f t="shared" si="14"/>
        <v>79.256869255686695</v>
      </c>
      <c r="O33" s="277">
        <f t="shared" si="14"/>
        <v>52.273305821950856</v>
      </c>
      <c r="P33" s="85">
        <f t="shared" si="14"/>
        <v>64.512331231418003</v>
      </c>
      <c r="Q33" s="85">
        <f t="shared" si="14"/>
        <v>100</v>
      </c>
      <c r="R33" s="85">
        <f t="shared" si="14"/>
        <v>76.906216162021252</v>
      </c>
      <c r="S33" s="85">
        <f t="shared" si="14"/>
        <v>81.671202177044975</v>
      </c>
      <c r="T33" s="85">
        <f t="shared" si="14"/>
        <v>85.851130308859354</v>
      </c>
      <c r="U33" s="85">
        <f t="shared" si="14"/>
        <v>72.40079359930661</v>
      </c>
      <c r="V33" s="85">
        <f t="shared" si="14"/>
        <v>79.140315612640492</v>
      </c>
      <c r="W33" s="85">
        <f t="shared" si="14"/>
        <v>87.428549811060051</v>
      </c>
      <c r="X33" s="85">
        <f t="shared" si="14"/>
        <v>50.987895750580904</v>
      </c>
      <c r="Y33" s="85">
        <f t="shared" si="14"/>
        <v>67.359271337719377</v>
      </c>
      <c r="Z33" s="85">
        <f t="shared" si="14"/>
        <v>92.615101938095819</v>
      </c>
      <c r="AA33" s="85">
        <f t="shared" si="14"/>
        <v>84.572308754131456</v>
      </c>
      <c r="AB33" s="277">
        <f t="shared" si="14"/>
        <v>66.119150538724298</v>
      </c>
      <c r="AC33" s="85">
        <f t="shared" si="14"/>
        <v>64.512331231418003</v>
      </c>
      <c r="AD33" s="85">
        <f t="shared" si="14"/>
        <v>100</v>
      </c>
      <c r="AE33" s="85">
        <f t="shared" si="14"/>
        <v>74.145411525397378</v>
      </c>
      <c r="AF33" s="85">
        <f t="shared" si="14"/>
        <v>76.095222350801777</v>
      </c>
      <c r="AG33" s="85">
        <f t="shared" si="14"/>
        <v>80.764530388322811</v>
      </c>
      <c r="AH33" s="85">
        <f t="shared" si="14"/>
        <v>72.505197419250223</v>
      </c>
      <c r="AI33" s="85">
        <f t="shared" si="14"/>
        <v>81.214888837519013</v>
      </c>
      <c r="AJ33" s="85">
        <f t="shared" si="14"/>
        <v>81.924972672637992</v>
      </c>
      <c r="AK33" s="85">
        <f t="shared" si="14"/>
        <v>53.665966488997817</v>
      </c>
      <c r="AL33" s="85">
        <f t="shared" si="14"/>
        <v>66.173497660284141</v>
      </c>
      <c r="AM33" s="85">
        <f t="shared" si="14"/>
        <v>77.11978049880635</v>
      </c>
      <c r="AN33" s="85">
        <f t="shared" si="14"/>
        <v>81.930220038391028</v>
      </c>
      <c r="AO33" s="277">
        <f t="shared" si="14"/>
        <v>65.492687320855111</v>
      </c>
      <c r="AP33" s="85">
        <f t="shared" si="14"/>
        <v>51.552001157449482</v>
      </c>
      <c r="AQ33" s="85">
        <f t="shared" si="14"/>
        <v>100</v>
      </c>
      <c r="AR33" s="85">
        <f t="shared" si="14"/>
        <v>73.910856286356491</v>
      </c>
      <c r="AS33" s="85">
        <f t="shared" si="14"/>
        <v>74.067796610169495</v>
      </c>
      <c r="AT33" s="85">
        <f t="shared" si="14"/>
        <v>76.133577406605639</v>
      </c>
      <c r="AU33" s="85">
        <f t="shared" si="14"/>
        <v>67.08439615926531</v>
      </c>
      <c r="AV33" s="85">
        <f t="shared" si="14"/>
        <v>76.687797034163509</v>
      </c>
      <c r="AW33" s="85">
        <f t="shared" si="14"/>
        <v>73.266446722240474</v>
      </c>
      <c r="AX33" s="85">
        <f t="shared" si="14"/>
        <v>50.268948064444515</v>
      </c>
      <c r="AY33" s="85">
        <f t="shared" si="14"/>
        <v>63.984429147850022</v>
      </c>
      <c r="AZ33" s="85">
        <f t="shared" si="14"/>
        <v>78.322654728490747</v>
      </c>
      <c r="BA33" s="85">
        <f t="shared" si="14"/>
        <v>77.278424735281476</v>
      </c>
      <c r="BB33" s="277">
        <f t="shared" si="14"/>
        <v>61.262240728402595</v>
      </c>
      <c r="BC33" s="85">
        <f t="shared" si="14"/>
        <v>50.876764146809229</v>
      </c>
      <c r="BD33" s="85">
        <f t="shared" si="14"/>
        <v>100</v>
      </c>
      <c r="BE33" s="85">
        <f t="shared" si="14"/>
        <v>71.649386147691203</v>
      </c>
      <c r="BF33" s="85">
        <f t="shared" si="14"/>
        <v>74.489417007055309</v>
      </c>
      <c r="BG33" s="85">
        <f t="shared" si="14"/>
        <v>71.351410649821048</v>
      </c>
      <c r="BH33" s="85">
        <f t="shared" si="14"/>
        <v>73.53426398894895</v>
      </c>
      <c r="BI33" s="85">
        <f t="shared" si="14"/>
        <v>75.266485827133593</v>
      </c>
      <c r="BJ33" s="85">
        <f t="shared" si="14"/>
        <v>68.726934701426686</v>
      </c>
      <c r="BK33" s="85">
        <f t="shared" si="14"/>
        <v>54.743044704134277</v>
      </c>
      <c r="BL33" s="85">
        <f t="shared" si="14"/>
        <v>62.98349637305558</v>
      </c>
      <c r="BM33" s="85">
        <f t="shared" si="14"/>
        <v>67.734385977847339</v>
      </c>
      <c r="BN33" s="85">
        <f t="shared" si="14"/>
        <v>75.694317740917356</v>
      </c>
      <c r="BO33" s="277">
        <f t="shared" si="14"/>
        <v>65.719312331408858</v>
      </c>
      <c r="BP33" s="304">
        <f t="shared" ref="BP33:CD33" si="15">(BP13/BP17)*100</f>
        <v>49.44331991957084</v>
      </c>
      <c r="BQ33" s="304">
        <f t="shared" si="15"/>
        <v>88.511058533397616</v>
      </c>
      <c r="BR33" s="304">
        <f t="shared" si="15"/>
        <v>71.447845097086898</v>
      </c>
      <c r="BS33" s="304">
        <f t="shared" si="15"/>
        <v>73.836489439184277</v>
      </c>
      <c r="BT33" s="304">
        <f t="shared" si="15"/>
        <v>68.809311084552689</v>
      </c>
      <c r="BU33" s="304">
        <f t="shared" si="15"/>
        <v>89.749714967522777</v>
      </c>
      <c r="BV33" s="304">
        <f t="shared" si="15"/>
        <v>66.586443373129953</v>
      </c>
      <c r="BW33" s="304">
        <f t="shared" si="15"/>
        <v>72.433362266536449</v>
      </c>
      <c r="BX33" s="304">
        <f t="shared" si="15"/>
        <v>65.664375364363821</v>
      </c>
      <c r="BY33" s="304">
        <f t="shared" si="15"/>
        <v>60.33077642437523</v>
      </c>
      <c r="BZ33" s="304">
        <f t="shared" si="15"/>
        <v>63.814502417074749</v>
      </c>
      <c r="CA33" s="304">
        <f t="shared" si="15"/>
        <v>68.606981963570831</v>
      </c>
      <c r="CB33" s="304">
        <f t="shared" si="15"/>
        <v>84.095918311195732</v>
      </c>
      <c r="CC33" s="304">
        <f t="shared" si="15"/>
        <v>66.448201233453247</v>
      </c>
      <c r="CD33" s="311">
        <f t="shared" si="15"/>
        <v>77.650893088515076</v>
      </c>
    </row>
    <row r="34" spans="1:82" x14ac:dyDescent="0.3">
      <c r="A34" s="2">
        <v>27</v>
      </c>
      <c r="B34" s="20" t="s">
        <v>47</v>
      </c>
      <c r="C34" s="85">
        <f>(C14/C17)*100</f>
        <v>50.888142976352292</v>
      </c>
      <c r="D34" s="85">
        <f t="shared" ref="D34:BO34" si="16">(D14/D17)*100</f>
        <v>0</v>
      </c>
      <c r="E34" s="85">
        <f t="shared" si="16"/>
        <v>24.983369761474862</v>
      </c>
      <c r="F34" s="85">
        <f t="shared" si="16"/>
        <v>25.020414829332026</v>
      </c>
      <c r="G34" s="85"/>
      <c r="H34" s="85">
        <f t="shared" si="16"/>
        <v>25.531828829915838</v>
      </c>
      <c r="I34" s="85">
        <f t="shared" si="16"/>
        <v>30.552581570954167</v>
      </c>
      <c r="J34" s="85"/>
      <c r="K34" s="85">
        <f t="shared" si="16"/>
        <v>39.989065715398951</v>
      </c>
      <c r="L34" s="85">
        <f t="shared" si="16"/>
        <v>23.105592687473099</v>
      </c>
      <c r="M34" s="85">
        <f t="shared" si="16"/>
        <v>35.311753885895257</v>
      </c>
      <c r="N34" s="85">
        <f t="shared" si="16"/>
        <v>25.073052461105842</v>
      </c>
      <c r="O34" s="277">
        <f t="shared" si="16"/>
        <v>40.245329309576626</v>
      </c>
      <c r="P34" s="85">
        <f t="shared" si="16"/>
        <v>30.555381157681271</v>
      </c>
      <c r="Q34" s="85">
        <f t="shared" si="16"/>
        <v>0</v>
      </c>
      <c r="R34" s="85">
        <f t="shared" si="16"/>
        <v>19.490675756968116</v>
      </c>
      <c r="S34" s="85">
        <f t="shared" si="16"/>
        <v>18.328797822955018</v>
      </c>
      <c r="T34" s="85">
        <f t="shared" si="16"/>
        <v>17.778687844808179</v>
      </c>
      <c r="U34" s="85">
        <f t="shared" si="16"/>
        <v>13.060383480560178</v>
      </c>
      <c r="V34" s="85">
        <f t="shared" si="16"/>
        <v>20.822643477234603</v>
      </c>
      <c r="W34" s="85">
        <f t="shared" si="16"/>
        <v>23.239607749498102</v>
      </c>
      <c r="X34" s="85">
        <f t="shared" si="16"/>
        <v>21.366866119364328</v>
      </c>
      <c r="Y34" s="85">
        <f t="shared" si="16"/>
        <v>17.513816858018561</v>
      </c>
      <c r="Z34" s="85">
        <f t="shared" si="16"/>
        <v>23.410420775656455</v>
      </c>
      <c r="AA34" s="85">
        <f t="shared" si="16"/>
        <v>16.95283013132207</v>
      </c>
      <c r="AB34" s="277">
        <f t="shared" si="16"/>
        <v>27.105444496288676</v>
      </c>
      <c r="AC34" s="85">
        <f t="shared" si="16"/>
        <v>30.555381157681271</v>
      </c>
      <c r="AD34" s="85">
        <f t="shared" si="16"/>
        <v>0</v>
      </c>
      <c r="AE34" s="85">
        <f t="shared" si="16"/>
        <v>21.092853363302527</v>
      </c>
      <c r="AF34" s="85">
        <f t="shared" si="16"/>
        <v>23.012068110431478</v>
      </c>
      <c r="AG34" s="85">
        <f t="shared" si="16"/>
        <v>20.051053135251649</v>
      </c>
      <c r="AH34" s="85">
        <f t="shared" si="16"/>
        <v>14.496872483524825</v>
      </c>
      <c r="AI34" s="85">
        <f t="shared" si="16"/>
        <v>19.512833312013921</v>
      </c>
      <c r="AJ34" s="85">
        <f t="shared" si="16"/>
        <v>25.582000649281877</v>
      </c>
      <c r="AK34" s="85">
        <f t="shared" si="16"/>
        <v>22.234124213968716</v>
      </c>
      <c r="AL34" s="85">
        <f t="shared" si="16"/>
        <v>18.194341427232068</v>
      </c>
      <c r="AM34" s="85">
        <f t="shared" si="16"/>
        <v>26.708692873752792</v>
      </c>
      <c r="AN34" s="85">
        <f t="shared" si="16"/>
        <v>17.631748606456995</v>
      </c>
      <c r="AO34" s="277">
        <f t="shared" si="16"/>
        <v>27.64818761471129</v>
      </c>
      <c r="AP34" s="85">
        <f t="shared" si="16"/>
        <v>40.82310343648254</v>
      </c>
      <c r="AQ34" s="85" t="e">
        <f t="shared" si="16"/>
        <v>#VALUE!</v>
      </c>
      <c r="AR34" s="85">
        <f t="shared" si="16"/>
        <v>24.668443317169139</v>
      </c>
      <c r="AS34" s="85">
        <f t="shared" si="16"/>
        <v>25.395480225988699</v>
      </c>
      <c r="AT34" s="85">
        <f t="shared" si="16"/>
        <v>22.989450307100395</v>
      </c>
      <c r="AU34" s="85">
        <f t="shared" si="16"/>
        <v>19.958352337782241</v>
      </c>
      <c r="AV34" s="85">
        <f t="shared" si="16"/>
        <v>22.561068697080959</v>
      </c>
      <c r="AW34" s="85">
        <f t="shared" si="16"/>
        <v>31.344108901026512</v>
      </c>
      <c r="AX34" s="85">
        <f t="shared" si="16"/>
        <v>30.26600052402047</v>
      </c>
      <c r="AY34" s="85">
        <f t="shared" si="16"/>
        <v>20.065471704260201</v>
      </c>
      <c r="AZ34" s="85">
        <f t="shared" si="16"/>
        <v>27.101098983877453</v>
      </c>
      <c r="BA34" s="85">
        <f t="shared" si="16"/>
        <v>19.883855298221111</v>
      </c>
      <c r="BB34" s="277">
        <f t="shared" si="16"/>
        <v>32.190777031128583</v>
      </c>
      <c r="BC34" s="85">
        <f t="shared" si="16"/>
        <v>40.59002118210843</v>
      </c>
      <c r="BD34" s="85">
        <f t="shared" si="16"/>
        <v>2.3347841414266246</v>
      </c>
      <c r="BE34" s="85">
        <f t="shared" si="16"/>
        <v>25.224709770982461</v>
      </c>
      <c r="BF34" s="85">
        <f t="shared" si="16"/>
        <v>24.235672731773729</v>
      </c>
      <c r="BG34" s="85">
        <f t="shared" si="16"/>
        <v>23.06743035065789</v>
      </c>
      <c r="BH34" s="85">
        <f t="shared" si="16"/>
        <v>20.227882351224842</v>
      </c>
      <c r="BI34" s="85">
        <f t="shared" si="16"/>
        <v>25.221555465419794</v>
      </c>
      <c r="BJ34" s="85">
        <f t="shared" si="16"/>
        <v>30.438092564680719</v>
      </c>
      <c r="BK34" s="85">
        <f t="shared" si="16"/>
        <v>31.4752330404887</v>
      </c>
      <c r="BL34" s="85">
        <f t="shared" si="16"/>
        <v>20.495581278542225</v>
      </c>
      <c r="BM34" s="85">
        <f t="shared" si="16"/>
        <v>28.591412623129159</v>
      </c>
      <c r="BN34" s="85">
        <f t="shared" si="16"/>
        <v>18.689579877256175</v>
      </c>
      <c r="BO34" s="277">
        <f t="shared" si="16"/>
        <v>33.32530800069928</v>
      </c>
      <c r="BP34" s="304">
        <f>(BP14/BP17)*100</f>
        <v>43.093700124652798</v>
      </c>
      <c r="BQ34" s="304">
        <f t="shared" ref="BQ34:CD34" si="17">(BQ14/BQ17)*100</f>
        <v>11.488941466602384</v>
      </c>
      <c r="BR34" s="304">
        <f t="shared" si="17"/>
        <v>26.26233939665255</v>
      </c>
      <c r="BS34" s="304">
        <f t="shared" si="17"/>
        <v>24.047098810390871</v>
      </c>
      <c r="BT34" s="304">
        <f t="shared" si="17"/>
        <v>28.36209045152437</v>
      </c>
      <c r="BU34" s="304">
        <f t="shared" si="17"/>
        <v>20.066834285003402</v>
      </c>
      <c r="BV34" s="304">
        <f t="shared" si="17"/>
        <v>21.487879809351785</v>
      </c>
      <c r="BW34" s="304">
        <f t="shared" si="17"/>
        <v>23.226697430135303</v>
      </c>
      <c r="BX34" s="304">
        <f t="shared" si="17"/>
        <v>33.301378429700421</v>
      </c>
      <c r="BY34" s="304">
        <f t="shared" si="17"/>
        <v>38.488474435025516</v>
      </c>
      <c r="BZ34" s="304">
        <f t="shared" si="17"/>
        <v>19.803881138005227</v>
      </c>
      <c r="CA34" s="304">
        <f t="shared" si="17"/>
        <v>27.060685551141344</v>
      </c>
      <c r="CB34" s="304">
        <f t="shared" si="17"/>
        <v>10.943705478132507</v>
      </c>
      <c r="CC34" s="304">
        <f t="shared" si="17"/>
        <v>32.225291269573816</v>
      </c>
      <c r="CD34" s="311">
        <f t="shared" si="17"/>
        <v>24.859618003998342</v>
      </c>
    </row>
    <row r="35" spans="1:82" x14ac:dyDescent="0.3">
      <c r="A35" s="2">
        <v>28</v>
      </c>
      <c r="B35" s="20" t="s">
        <v>46</v>
      </c>
      <c r="C35" s="85">
        <f>(C32/C17)*100</f>
        <v>49.111857023647708</v>
      </c>
      <c r="D35" s="85">
        <f t="shared" ref="D35:BO35" si="18">(D32/D17)*100</f>
        <v>100</v>
      </c>
      <c r="E35" s="85">
        <f t="shared" si="18"/>
        <v>75.016630238525138</v>
      </c>
      <c r="F35" s="85">
        <f t="shared" si="18"/>
        <v>74.979585170667974</v>
      </c>
      <c r="G35" s="85"/>
      <c r="H35" s="85">
        <f t="shared" si="18"/>
        <v>74.468171170084162</v>
      </c>
      <c r="I35" s="85">
        <f t="shared" si="18"/>
        <v>69.447418429045825</v>
      </c>
      <c r="J35" s="85"/>
      <c r="K35" s="85">
        <f t="shared" si="18"/>
        <v>60.010934284601049</v>
      </c>
      <c r="L35" s="85">
        <f t="shared" si="18"/>
        <v>76.894407312526909</v>
      </c>
      <c r="M35" s="85">
        <f t="shared" si="18"/>
        <v>64.688246114104743</v>
      </c>
      <c r="N35" s="85">
        <f t="shared" si="18"/>
        <v>74.926947538894169</v>
      </c>
      <c r="O35" s="277">
        <f t="shared" si="18"/>
        <v>59.754670690423374</v>
      </c>
      <c r="P35" s="85">
        <f t="shared" si="18"/>
        <v>69.444618842318732</v>
      </c>
      <c r="Q35" s="85">
        <f t="shared" si="18"/>
        <v>100</v>
      </c>
      <c r="R35" s="85">
        <f t="shared" si="18"/>
        <v>80.509324243031884</v>
      </c>
      <c r="S35" s="85">
        <f t="shared" si="18"/>
        <v>81.671202177044975</v>
      </c>
      <c r="T35" s="85">
        <f t="shared" si="18"/>
        <v>82.221312155191811</v>
      </c>
      <c r="U35" s="85">
        <f t="shared" si="18"/>
        <v>86.939616519439824</v>
      </c>
      <c r="V35" s="85">
        <f t="shared" si="18"/>
        <v>79.177356522765393</v>
      </c>
      <c r="W35" s="85">
        <f t="shared" si="18"/>
        <v>76.760392250501894</v>
      </c>
      <c r="X35" s="85">
        <f t="shared" si="18"/>
        <v>78.633133880635668</v>
      </c>
      <c r="Y35" s="85">
        <f t="shared" si="18"/>
        <v>82.486183141981442</v>
      </c>
      <c r="Z35" s="85">
        <f t="shared" si="18"/>
        <v>76.589579224343538</v>
      </c>
      <c r="AA35" s="85">
        <f t="shared" si="18"/>
        <v>83.047169868677926</v>
      </c>
      <c r="AB35" s="277">
        <f t="shared" si="18"/>
        <v>72.894555503711317</v>
      </c>
      <c r="AC35" s="85">
        <f t="shared" si="18"/>
        <v>69.444618842318732</v>
      </c>
      <c r="AD35" s="85">
        <f t="shared" si="18"/>
        <v>100</v>
      </c>
      <c r="AE35" s="85">
        <f t="shared" si="18"/>
        <v>78.907146636697476</v>
      </c>
      <c r="AF35" s="85">
        <f t="shared" si="18"/>
        <v>76.987931889568529</v>
      </c>
      <c r="AG35" s="85">
        <f t="shared" si="18"/>
        <v>79.948946864748351</v>
      </c>
      <c r="AH35" s="85">
        <f t="shared" si="18"/>
        <v>85.503127516475175</v>
      </c>
      <c r="AI35" s="85">
        <f t="shared" si="18"/>
        <v>80.487166687986075</v>
      </c>
      <c r="AJ35" s="85">
        <f t="shared" si="18"/>
        <v>74.417999350718119</v>
      </c>
      <c r="AK35" s="85">
        <f t="shared" si="18"/>
        <v>77.765875786031273</v>
      </c>
      <c r="AL35" s="85">
        <f t="shared" si="18"/>
        <v>81.805658572767925</v>
      </c>
      <c r="AM35" s="85">
        <f t="shared" si="18"/>
        <v>73.291307126247204</v>
      </c>
      <c r="AN35" s="85">
        <f t="shared" si="18"/>
        <v>82.368251393543005</v>
      </c>
      <c r="AO35" s="277">
        <f t="shared" si="18"/>
        <v>72.35181238528871</v>
      </c>
      <c r="AP35" s="85">
        <f t="shared" si="18"/>
        <v>59.17689656351746</v>
      </c>
      <c r="AQ35" s="85" t="e">
        <f t="shared" si="18"/>
        <v>#VALUE!</v>
      </c>
      <c r="AR35" s="85">
        <f t="shared" si="18"/>
        <v>75.331556682830865</v>
      </c>
      <c r="AS35" s="85">
        <f t="shared" si="18"/>
        <v>74.604519774011308</v>
      </c>
      <c r="AT35" s="85">
        <f t="shared" si="18"/>
        <v>77.010549692899616</v>
      </c>
      <c r="AU35" s="85">
        <f t="shared" si="18"/>
        <v>80.041647662217756</v>
      </c>
      <c r="AV35" s="85">
        <f t="shared" si="18"/>
        <v>77.43893130291903</v>
      </c>
      <c r="AW35" s="85">
        <f t="shared" si="18"/>
        <v>68.655891098973484</v>
      </c>
      <c r="AX35" s="85">
        <f t="shared" si="18"/>
        <v>69.73399947597953</v>
      </c>
      <c r="AY35" s="85">
        <f t="shared" si="18"/>
        <v>79.934528295739796</v>
      </c>
      <c r="AZ35" s="85">
        <f t="shared" si="18"/>
        <v>72.898901016122537</v>
      </c>
      <c r="BA35" s="85">
        <f t="shared" si="18"/>
        <v>80.116144701778893</v>
      </c>
      <c r="BB35" s="277">
        <f t="shared" si="18"/>
        <v>67.809222968871424</v>
      </c>
      <c r="BC35" s="85">
        <f t="shared" si="18"/>
        <v>59.409978817891563</v>
      </c>
      <c r="BD35" s="85">
        <f t="shared" si="18"/>
        <v>97.665215858573376</v>
      </c>
      <c r="BE35" s="85">
        <f t="shared" si="18"/>
        <v>74.775290229017529</v>
      </c>
      <c r="BF35" s="85">
        <f t="shared" si="18"/>
        <v>75.764327268226268</v>
      </c>
      <c r="BG35" s="85">
        <f t="shared" si="18"/>
        <v>76.932569649342113</v>
      </c>
      <c r="BH35" s="85">
        <f t="shared" si="18"/>
        <v>79.772117648775165</v>
      </c>
      <c r="BI35" s="85">
        <f t="shared" si="18"/>
        <v>74.778444534580203</v>
      </c>
      <c r="BJ35" s="85">
        <f t="shared" si="18"/>
        <v>69.561907435319284</v>
      </c>
      <c r="BK35" s="85">
        <f t="shared" si="18"/>
        <v>68.524766959511311</v>
      </c>
      <c r="BL35" s="85">
        <f t="shared" si="18"/>
        <v>79.504418721457768</v>
      </c>
      <c r="BM35" s="85">
        <f t="shared" si="18"/>
        <v>71.408587376870841</v>
      </c>
      <c r="BN35" s="85">
        <f t="shared" si="18"/>
        <v>81.310420122743835</v>
      </c>
      <c r="BO35" s="277">
        <f t="shared" si="18"/>
        <v>66.674691999300734</v>
      </c>
      <c r="BP35" s="304">
        <f t="shared" ref="BP35:CD35" si="19">(BP32/BP17)*100</f>
        <v>56.906299875347209</v>
      </c>
      <c r="BQ35" s="304">
        <f t="shared" si="19"/>
        <v>88.511058533397616</v>
      </c>
      <c r="BR35" s="304">
        <f t="shared" si="19"/>
        <v>73.73766060334745</v>
      </c>
      <c r="BS35" s="304">
        <f t="shared" si="19"/>
        <v>75.952901189609122</v>
      </c>
      <c r="BT35" s="304">
        <f t="shared" si="19"/>
        <v>71.637909548475633</v>
      </c>
      <c r="BU35" s="304">
        <f t="shared" si="19"/>
        <v>79.933165714996605</v>
      </c>
      <c r="BV35" s="304">
        <f t="shared" si="19"/>
        <v>78.512120190648218</v>
      </c>
      <c r="BW35" s="304">
        <f t="shared" si="19"/>
        <v>76.773302569864697</v>
      </c>
      <c r="BX35" s="304">
        <f t="shared" si="19"/>
        <v>66.698621570299579</v>
      </c>
      <c r="BY35" s="304">
        <f t="shared" si="19"/>
        <v>61.511525564974477</v>
      </c>
      <c r="BZ35" s="304">
        <f t="shared" si="19"/>
        <v>80.196118861994776</v>
      </c>
      <c r="CA35" s="304">
        <f t="shared" si="19"/>
        <v>72.939314448858667</v>
      </c>
      <c r="CB35" s="304">
        <f t="shared" si="19"/>
        <v>89.0562945218675</v>
      </c>
      <c r="CC35" s="304">
        <f t="shared" si="19"/>
        <v>67.774708730426184</v>
      </c>
      <c r="CD35" s="311">
        <f t="shared" si="19"/>
        <v>75.140381996001665</v>
      </c>
    </row>
    <row r="36" spans="1:82" x14ac:dyDescent="0.3">
      <c r="A36" s="2">
        <v>29</v>
      </c>
      <c r="B36" s="20" t="s">
        <v>39</v>
      </c>
      <c r="C36" s="85">
        <f>C15/C27</f>
        <v>6805.6894506917761</v>
      </c>
      <c r="D36" s="85">
        <f t="shared" ref="D36:BO36" si="20">D15/D27</f>
        <v>5234.8514730112702</v>
      </c>
      <c r="E36" s="85">
        <f t="shared" si="20"/>
        <v>2435.7089140485486</v>
      </c>
      <c r="F36" s="85">
        <f t="shared" si="20"/>
        <v>1890.2930895401989</v>
      </c>
      <c r="G36" s="85"/>
      <c r="H36" s="85">
        <f t="shared" si="20"/>
        <v>2649.5188629268087</v>
      </c>
      <c r="I36" s="85">
        <f t="shared" si="20"/>
        <v>2933.7336929785097</v>
      </c>
      <c r="J36" s="85"/>
      <c r="K36" s="85">
        <f t="shared" si="20"/>
        <v>2941.1013847525714</v>
      </c>
      <c r="L36" s="85">
        <f t="shared" si="20"/>
        <v>2788.6817300258153</v>
      </c>
      <c r="M36" s="85">
        <f t="shared" si="20"/>
        <v>2972.2634956248598</v>
      </c>
      <c r="N36" s="85">
        <f t="shared" si="20"/>
        <v>3918.4376646054607</v>
      </c>
      <c r="O36" s="277">
        <f t="shared" si="20"/>
        <v>4506.9180161708737</v>
      </c>
      <c r="P36" s="85">
        <f t="shared" si="20"/>
        <v>7013.187147620848</v>
      </c>
      <c r="Q36" s="85">
        <f t="shared" si="20"/>
        <v>3043.689778990884</v>
      </c>
      <c r="R36" s="85">
        <f t="shared" si="20"/>
        <v>2375.5115741637296</v>
      </c>
      <c r="S36" s="85">
        <f t="shared" si="20"/>
        <v>1913.5272685984498</v>
      </c>
      <c r="T36" s="85">
        <f t="shared" si="20"/>
        <v>1997.1086501646282</v>
      </c>
      <c r="U36" s="85">
        <f t="shared" si="20"/>
        <v>2607.0748822252708</v>
      </c>
      <c r="V36" s="85">
        <f t="shared" si="20"/>
        <v>3418.449426120877</v>
      </c>
      <c r="W36" s="85">
        <f t="shared" si="20"/>
        <v>4602.858640034814</v>
      </c>
      <c r="X36" s="85">
        <f t="shared" si="20"/>
        <v>3429.4247602954542</v>
      </c>
      <c r="Y36" s="85">
        <f t="shared" si="20"/>
        <v>2881.4741546263235</v>
      </c>
      <c r="Z36" s="85">
        <f t="shared" si="20"/>
        <v>2971.5287892383444</v>
      </c>
      <c r="AA36" s="85">
        <f t="shared" si="20"/>
        <v>4033.6129831906646</v>
      </c>
      <c r="AB36" s="277">
        <f t="shared" si="20"/>
        <v>4829.2386000785255</v>
      </c>
      <c r="AC36" s="85">
        <f t="shared" si="20"/>
        <v>6957.1283967658956</v>
      </c>
      <c r="AD36" s="85">
        <f t="shared" si="20"/>
        <v>3153.3817952975201</v>
      </c>
      <c r="AE36" s="85">
        <f t="shared" si="20"/>
        <v>2518.222493868554</v>
      </c>
      <c r="AF36" s="85">
        <f t="shared" si="20"/>
        <v>1843.8950377822905</v>
      </c>
      <c r="AG36" s="85">
        <f t="shared" si="20"/>
        <v>2059.6559557103092</v>
      </c>
      <c r="AH36" s="85">
        <f t="shared" si="20"/>
        <v>2647.0147675439071</v>
      </c>
      <c r="AI36" s="85">
        <f t="shared" si="20"/>
        <v>3829.4541971842659</v>
      </c>
      <c r="AJ36" s="85">
        <f t="shared" si="20"/>
        <v>4570.4483071157647</v>
      </c>
      <c r="AK36" s="85">
        <f t="shared" si="20"/>
        <v>3195.6981686350091</v>
      </c>
      <c r="AL36" s="85">
        <f t="shared" si="20"/>
        <v>2953.2382699300292</v>
      </c>
      <c r="AM36" s="85">
        <f t="shared" si="20"/>
        <v>2920.1911622932548</v>
      </c>
      <c r="AN36" s="85">
        <f t="shared" si="20"/>
        <v>4180.0366598015353</v>
      </c>
      <c r="AO36" s="277">
        <f t="shared" si="20"/>
        <v>4727.2195078778122</v>
      </c>
      <c r="AP36" s="85">
        <f t="shared" si="20"/>
        <v>8000.8416706368116</v>
      </c>
      <c r="AQ36" s="85">
        <f t="shared" si="20"/>
        <v>3785.2562694761832</v>
      </c>
      <c r="AR36" s="85">
        <f t="shared" si="20"/>
        <v>2625.7579607802636</v>
      </c>
      <c r="AS36" s="85">
        <f t="shared" si="20"/>
        <v>2176.181444706222</v>
      </c>
      <c r="AT36" s="85">
        <f t="shared" si="20"/>
        <v>2160.8552564812176</v>
      </c>
      <c r="AU36" s="85">
        <f t="shared" si="20"/>
        <v>2932.2229327903701</v>
      </c>
      <c r="AV36" s="85">
        <f t="shared" si="20"/>
        <v>3973.7114000292304</v>
      </c>
      <c r="AW36" s="85">
        <f t="shared" si="20"/>
        <v>4667.0671503776748</v>
      </c>
      <c r="AX36" s="85">
        <f t="shared" si="20"/>
        <v>3506.6830939128636</v>
      </c>
      <c r="AY36" s="85">
        <f t="shared" si="20"/>
        <v>3074.3972629156569</v>
      </c>
      <c r="AZ36" s="85">
        <f t="shared" si="20"/>
        <v>3179.2418524871355</v>
      </c>
      <c r="BA36" s="85">
        <f t="shared" si="20"/>
        <v>4553.1322078354633</v>
      </c>
      <c r="BB36" s="277">
        <f t="shared" si="20"/>
        <v>5117.2855064753139</v>
      </c>
      <c r="BC36" s="85">
        <f t="shared" si="20"/>
        <v>8595.3590391550024</v>
      </c>
      <c r="BD36" s="85">
        <f t="shared" si="20"/>
        <v>3880.4209439766842</v>
      </c>
      <c r="BE36" s="85">
        <f t="shared" si="20"/>
        <v>2848.5351721484899</v>
      </c>
      <c r="BF36" s="85">
        <f t="shared" si="20"/>
        <v>2489.6413195713562</v>
      </c>
      <c r="BG36" s="85">
        <f t="shared" si="20"/>
        <v>2339.5093150730081</v>
      </c>
      <c r="BH36" s="85">
        <f t="shared" si="20"/>
        <v>3219.7322953023922</v>
      </c>
      <c r="BI36" s="85">
        <f t="shared" si="20"/>
        <v>4313.8663003960601</v>
      </c>
      <c r="BJ36" s="85">
        <f t="shared" si="20"/>
        <v>5171.5929650807402</v>
      </c>
      <c r="BK36" s="85">
        <f t="shared" si="20"/>
        <v>3840.6161661128181</v>
      </c>
      <c r="BL36" s="85">
        <f t="shared" si="20"/>
        <v>3340.7066707588333</v>
      </c>
      <c r="BM36" s="85">
        <f t="shared" si="20"/>
        <v>3428.9775156969054</v>
      </c>
      <c r="BN36" s="85">
        <f t="shared" si="20"/>
        <v>5315.6742131373294</v>
      </c>
      <c r="BO36" s="277">
        <f t="shared" si="20"/>
        <v>5936.1327592945918</v>
      </c>
      <c r="BP36" s="304">
        <f t="shared" ref="BP36:CD36" si="21">BP15/BP27</f>
        <v>8753.109719857348</v>
      </c>
      <c r="BQ36" s="304">
        <f t="shared" si="21"/>
        <v>0</v>
      </c>
      <c r="BR36" s="304">
        <f t="shared" si="21"/>
        <v>3116.4047631702028</v>
      </c>
      <c r="BS36" s="304">
        <f t="shared" si="21"/>
        <v>2380.5710038699094</v>
      </c>
      <c r="BT36" s="304">
        <f t="shared" si="21"/>
        <v>2401.5294152055903</v>
      </c>
      <c r="BU36" s="304">
        <f t="shared" si="21"/>
        <v>2480.4851857498602</v>
      </c>
      <c r="BV36" s="304">
        <f t="shared" si="21"/>
        <v>3395.7874167497471</v>
      </c>
      <c r="BW36" s="304">
        <f t="shared" si="21"/>
        <v>4446.4794270118955</v>
      </c>
      <c r="BX36" s="304">
        <f t="shared" si="21"/>
        <v>4739.2054478818482</v>
      </c>
      <c r="BY36" s="304">
        <f t="shared" si="21"/>
        <v>4036.7518821590375</v>
      </c>
      <c r="BZ36" s="304">
        <f t="shared" si="21"/>
        <v>3222.9116143888195</v>
      </c>
      <c r="CA36" s="304">
        <f t="shared" si="21"/>
        <v>3686.8819986401795</v>
      </c>
      <c r="CB36" s="304">
        <f t="shared" si="21"/>
        <v>5356.0374772195273</v>
      </c>
      <c r="CC36" s="304">
        <f t="shared" si="21"/>
        <v>6348.7566181239317</v>
      </c>
      <c r="CD36" s="311">
        <f>CD15/CD27</f>
        <v>2433.782490052477</v>
      </c>
    </row>
    <row r="37" spans="1:82" x14ac:dyDescent="0.3">
      <c r="A37" s="2">
        <v>30</v>
      </c>
      <c r="B37" s="20" t="s">
        <v>40</v>
      </c>
      <c r="C37" s="85">
        <f>C15/C5</f>
        <v>1.6088255258971187</v>
      </c>
      <c r="D37" s="85">
        <f t="shared" ref="D37:BO37" si="22">D15/D5</f>
        <v>1.6671638747689952</v>
      </c>
      <c r="E37" s="85"/>
      <c r="F37" s="85">
        <f t="shared" si="22"/>
        <v>1.0932982210941533</v>
      </c>
      <c r="G37" s="85"/>
      <c r="H37" s="85">
        <f t="shared" si="22"/>
        <v>1.2414391056127674</v>
      </c>
      <c r="I37" s="85">
        <f t="shared" si="22"/>
        <v>1.3147645477843906</v>
      </c>
      <c r="J37" s="85"/>
      <c r="K37" s="85">
        <f t="shared" si="22"/>
        <v>0.95879112490954532</v>
      </c>
      <c r="L37" s="85">
        <f t="shared" si="22"/>
        <v>1.14467075890756</v>
      </c>
      <c r="M37" s="85">
        <f t="shared" si="22"/>
        <v>0.89201759135860692</v>
      </c>
      <c r="N37" s="85">
        <f t="shared" si="22"/>
        <v>1.4164177969586136</v>
      </c>
      <c r="O37" s="277">
        <f t="shared" si="22"/>
        <v>1.2332843757050711</v>
      </c>
      <c r="P37" s="85">
        <f t="shared" si="22"/>
        <v>1.6984576615320803</v>
      </c>
      <c r="Q37" s="85">
        <f t="shared" si="22"/>
        <v>1.0046027592546174</v>
      </c>
      <c r="R37" s="85">
        <f t="shared" si="22"/>
        <v>1.490595508086872</v>
      </c>
      <c r="S37" s="85">
        <f t="shared" si="22"/>
        <v>1.1386482741493205</v>
      </c>
      <c r="T37" s="85">
        <f t="shared" si="22"/>
        <v>1.1015138644279361</v>
      </c>
      <c r="U37" s="85">
        <f t="shared" si="22"/>
        <v>1.2102252845733932</v>
      </c>
      <c r="V37" s="85">
        <f t="shared" si="22"/>
        <v>1.488264427886113</v>
      </c>
      <c r="W37" s="85">
        <f t="shared" si="22"/>
        <v>1.2960348634981682</v>
      </c>
      <c r="X37" s="85">
        <f t="shared" si="22"/>
        <v>1.0964510567086201</v>
      </c>
      <c r="Y37" s="85">
        <f t="shared" si="22"/>
        <v>1.0612787512314172</v>
      </c>
      <c r="Z37" s="85">
        <f t="shared" si="22"/>
        <v>0.88934781960452247</v>
      </c>
      <c r="AA37" s="85">
        <f t="shared" si="22"/>
        <v>1.5148425102711776</v>
      </c>
      <c r="AB37" s="277">
        <f t="shared" si="22"/>
        <v>1.2743623752608575</v>
      </c>
      <c r="AC37" s="85">
        <f t="shared" si="22"/>
        <v>1.622653280437296</v>
      </c>
      <c r="AD37" s="85">
        <f t="shared" si="22"/>
        <v>1.0016913096284918</v>
      </c>
      <c r="AE37" s="85">
        <f t="shared" si="22"/>
        <v>1.4352297879126343</v>
      </c>
      <c r="AF37" s="85">
        <f t="shared" si="22"/>
        <v>1.2590457152803611</v>
      </c>
      <c r="AG37" s="85">
        <f t="shared" si="22"/>
        <v>1.1332693172053023</v>
      </c>
      <c r="AH37" s="85">
        <f t="shared" si="22"/>
        <v>1.2655642058255709</v>
      </c>
      <c r="AI37" s="85">
        <f t="shared" si="22"/>
        <v>1.5600902010784532</v>
      </c>
      <c r="AJ37" s="85">
        <f t="shared" si="22"/>
        <v>1.3988022691942079</v>
      </c>
      <c r="AK37" s="85">
        <f t="shared" si="22"/>
        <v>0.98757236521194725</v>
      </c>
      <c r="AL37" s="85">
        <f t="shared" si="22"/>
        <v>1.0563310508535619</v>
      </c>
      <c r="AM37" s="85">
        <f t="shared" si="22"/>
        <v>0.88588361085380185</v>
      </c>
      <c r="AN37" s="85">
        <f t="shared" si="22"/>
        <v>1.6948751729742415</v>
      </c>
      <c r="AO37" s="277">
        <f t="shared" si="22"/>
        <v>1.2287637028219751</v>
      </c>
      <c r="AP37" s="85">
        <f t="shared" si="22"/>
        <v>1.88866456363077</v>
      </c>
      <c r="AQ37" s="85">
        <f t="shared" si="22"/>
        <v>1.2217346184080846</v>
      </c>
      <c r="AR37" s="85">
        <f t="shared" si="22"/>
        <v>1.4797322829144925</v>
      </c>
      <c r="AS37" s="85">
        <f t="shared" si="22"/>
        <v>1.4719784084738174</v>
      </c>
      <c r="AT37" s="85">
        <f t="shared" si="22"/>
        <v>1.2003449877652004</v>
      </c>
      <c r="AU37" s="85">
        <f t="shared" si="22"/>
        <v>1.3934264139600574</v>
      </c>
      <c r="AV37" s="85">
        <f t="shared" si="22"/>
        <v>1.6984236469889986</v>
      </c>
      <c r="AW37" s="85">
        <f t="shared" si="22"/>
        <v>1.2258604091750376</v>
      </c>
      <c r="AX37" s="85">
        <f t="shared" si="22"/>
        <v>1.1003014621008453</v>
      </c>
      <c r="AY37" s="85">
        <f t="shared" si="22"/>
        <v>1.1455749746390136</v>
      </c>
      <c r="AZ37" s="85">
        <f t="shared" si="22"/>
        <v>1.0012776318548413</v>
      </c>
      <c r="BA37" s="85">
        <f t="shared" si="22"/>
        <v>1.8481190917056214</v>
      </c>
      <c r="BB37" s="277">
        <f t="shared" si="22"/>
        <v>1.3829269961392654</v>
      </c>
      <c r="BC37" s="85">
        <f t="shared" si="22"/>
        <v>2.0859870475653213</v>
      </c>
      <c r="BD37" s="85">
        <f t="shared" si="22"/>
        <v>1.2624820796367833</v>
      </c>
      <c r="BE37" s="85">
        <f t="shared" si="22"/>
        <v>1.63176595122524</v>
      </c>
      <c r="BF37" s="85">
        <f t="shared" si="22"/>
        <v>1.6966129917713322</v>
      </c>
      <c r="BG37" s="85">
        <f t="shared" si="22"/>
        <v>1.3069757043695891</v>
      </c>
      <c r="BH37" s="85">
        <f t="shared" si="22"/>
        <v>1.569100845984323</v>
      </c>
      <c r="BI37" s="85">
        <f t="shared" si="22"/>
        <v>1.9331360069278529</v>
      </c>
      <c r="BJ37" s="85">
        <f t="shared" si="22"/>
        <v>1.2245013062651016</v>
      </c>
      <c r="BK37" s="85">
        <f t="shared" si="22"/>
        <v>1.2556536825690083</v>
      </c>
      <c r="BL37" s="85">
        <f t="shared" si="22"/>
        <v>1.2509964037903674</v>
      </c>
      <c r="BM37" s="85">
        <f t="shared" si="22"/>
        <v>1.1202262105211327</v>
      </c>
      <c r="BN37" s="85">
        <f t="shared" si="22"/>
        <v>2.1561229426036439</v>
      </c>
      <c r="BO37" s="277">
        <f t="shared" si="22"/>
        <v>1.4907009217484404</v>
      </c>
      <c r="BP37" s="304">
        <f t="shared" ref="BP37:CD37" si="23">BP15/BP5</f>
        <v>2.1960223739115161</v>
      </c>
      <c r="BQ37" s="304">
        <f t="shared" si="23"/>
        <v>0</v>
      </c>
      <c r="BR37" s="304">
        <f t="shared" si="23"/>
        <v>1.6959212836654649</v>
      </c>
      <c r="BS37" s="304">
        <f t="shared" si="23"/>
        <v>1.7044937745469411</v>
      </c>
      <c r="BT37" s="304">
        <f t="shared" si="23"/>
        <v>1.6261683488029113</v>
      </c>
      <c r="BU37" s="304">
        <f t="shared" si="23"/>
        <v>1.2617792262079501</v>
      </c>
      <c r="BV37" s="304">
        <f t="shared" si="23"/>
        <v>1.6503976960227673</v>
      </c>
      <c r="BW37" s="304">
        <f t="shared" si="23"/>
        <v>1.9706678241396616</v>
      </c>
      <c r="BX37" s="304">
        <f t="shared" si="23"/>
        <v>1.3253109978058422</v>
      </c>
      <c r="BY37" s="304">
        <f t="shared" si="23"/>
        <v>1.2955860649923983</v>
      </c>
      <c r="BZ37" s="304">
        <f t="shared" si="23"/>
        <v>1.2222005087680741</v>
      </c>
      <c r="CA37" s="304">
        <f t="shared" si="23"/>
        <v>1.1536707405973801</v>
      </c>
      <c r="CB37" s="304">
        <f t="shared" si="23"/>
        <v>2.1444610389670071</v>
      </c>
      <c r="CC37" s="304">
        <f t="shared" si="23"/>
        <v>1.593798850544949</v>
      </c>
      <c r="CD37" s="311">
        <f t="shared" si="23"/>
        <v>1.4516338648875977</v>
      </c>
    </row>
    <row r="38" spans="1:82" x14ac:dyDescent="0.3">
      <c r="A38" s="2">
        <v>32</v>
      </c>
      <c r="B38" s="20" t="s">
        <v>41</v>
      </c>
      <c r="C38" s="85">
        <f>C17/C6</f>
        <v>25.762155623665251</v>
      </c>
      <c r="D38" s="85">
        <f t="shared" ref="D38:BO38" si="24">D17/D6</f>
        <v>240.44133785306357</v>
      </c>
      <c r="E38" s="85">
        <f t="shared" si="24"/>
        <v>93.131261889214954</v>
      </c>
      <c r="F38" s="85">
        <f t="shared" si="24"/>
        <v>60.074337946063977</v>
      </c>
      <c r="G38" s="85"/>
      <c r="H38" s="85">
        <f t="shared" si="24"/>
        <v>59.421478332237911</v>
      </c>
      <c r="I38" s="85">
        <f t="shared" si="24"/>
        <v>52.992235984030046</v>
      </c>
      <c r="J38" s="85"/>
      <c r="K38" s="85">
        <f t="shared" si="24"/>
        <v>33.271437876431136</v>
      </c>
      <c r="L38" s="85">
        <f t="shared" si="24"/>
        <v>44.704794412382519</v>
      </c>
      <c r="M38" s="85">
        <f t="shared" si="24"/>
        <v>122.71065790017171</v>
      </c>
      <c r="N38" s="85">
        <f t="shared" si="24"/>
        <v>112.1687180791205</v>
      </c>
      <c r="O38" s="277">
        <f t="shared" si="24"/>
        <v>57.640317545582739</v>
      </c>
      <c r="P38" s="85">
        <f t="shared" si="24"/>
        <v>44.342893619852553</v>
      </c>
      <c r="Q38" s="85">
        <f t="shared" si="24"/>
        <v>334.79699324746633</v>
      </c>
      <c r="R38" s="85">
        <f t="shared" si="24"/>
        <v>132.45808825023451</v>
      </c>
      <c r="S38" s="85">
        <f t="shared" si="24"/>
        <v>88.716653324375045</v>
      </c>
      <c r="T38" s="85">
        <f t="shared" si="24"/>
        <v>73.658888041001504</v>
      </c>
      <c r="U38" s="85">
        <f t="shared" si="24"/>
        <v>81.331152181321855</v>
      </c>
      <c r="V38" s="85">
        <f t="shared" si="24"/>
        <v>83.851156933230627</v>
      </c>
      <c r="W38" s="85">
        <f t="shared" si="24"/>
        <v>175.23435902828302</v>
      </c>
      <c r="X38" s="85">
        <f t="shared" si="24"/>
        <v>55.60902163988203</v>
      </c>
      <c r="Y38" s="85">
        <f t="shared" si="24"/>
        <v>61.293981659518337</v>
      </c>
      <c r="Z38" s="85">
        <f t="shared" si="24"/>
        <v>178.48782848071224</v>
      </c>
      <c r="AA38" s="85">
        <f t="shared" si="24"/>
        <v>165.07811010787393</v>
      </c>
      <c r="AB38" s="277">
        <f t="shared" si="24"/>
        <v>74.522616111127988</v>
      </c>
      <c r="AC38" s="85">
        <f t="shared" si="24"/>
        <v>43.081115790823098</v>
      </c>
      <c r="AD38" s="85">
        <f t="shared" si="24"/>
        <v>466.41634112934599</v>
      </c>
      <c r="AE38" s="85">
        <f t="shared" si="24"/>
        <v>125.83330400811396</v>
      </c>
      <c r="AF38" s="85">
        <f t="shared" si="24"/>
        <v>89.721323995433394</v>
      </c>
      <c r="AG38" s="85">
        <f t="shared" si="24"/>
        <v>79.320669962487955</v>
      </c>
      <c r="AH38" s="85">
        <f t="shared" si="24"/>
        <v>80.320551076407412</v>
      </c>
      <c r="AI38" s="85">
        <f t="shared" si="24"/>
        <v>81.523221933145749</v>
      </c>
      <c r="AJ38" s="85">
        <f t="shared" si="24"/>
        <v>50.834590694084028</v>
      </c>
      <c r="AK38" s="85">
        <f t="shared" si="24"/>
        <v>46.457843475782731</v>
      </c>
      <c r="AL38" s="85">
        <f t="shared" si="24"/>
        <v>61.410188116120054</v>
      </c>
      <c r="AM38" s="85">
        <f t="shared" si="24"/>
        <v>181.75231841237058</v>
      </c>
      <c r="AN38" s="85">
        <f t="shared" si="24"/>
        <v>162.59097107496868</v>
      </c>
      <c r="AO38" s="277">
        <f t="shared" si="24"/>
        <v>64.147435775880595</v>
      </c>
      <c r="AP38" s="85">
        <f t="shared" si="24"/>
        <v>36.643694841721441</v>
      </c>
      <c r="AQ38" s="85">
        <f t="shared" si="24"/>
        <v>524.19468081514526</v>
      </c>
      <c r="AR38" s="85">
        <f t="shared" si="24"/>
        <v>113.65902166275609</v>
      </c>
      <c r="AS38" s="85">
        <f t="shared" si="24"/>
        <v>96.167886309998806</v>
      </c>
      <c r="AT38" s="85">
        <f t="shared" si="24"/>
        <v>66.354462835402884</v>
      </c>
      <c r="AU38" s="85">
        <f t="shared" si="24"/>
        <v>72.889715835642207</v>
      </c>
      <c r="AV38" s="85">
        <f t="shared" si="24"/>
        <v>69.221182473829984</v>
      </c>
      <c r="AW38" s="85">
        <f t="shared" si="24"/>
        <v>40.591388217464946</v>
      </c>
      <c r="AX38" s="85">
        <f t="shared" si="24"/>
        <v>41.607123025277133</v>
      </c>
      <c r="AY38" s="85">
        <f t="shared" si="24"/>
        <v>52.06174097546679</v>
      </c>
      <c r="AZ38" s="85">
        <f t="shared" si="24"/>
        <v>164.31601912402297</v>
      </c>
      <c r="BA38" s="85">
        <f t="shared" si="24"/>
        <v>160.12765869906187</v>
      </c>
      <c r="BB38" s="277">
        <f t="shared" si="24"/>
        <v>56.227164080960975</v>
      </c>
      <c r="BC38" s="85">
        <f t="shared" si="24"/>
        <v>35.644380545277926</v>
      </c>
      <c r="BD38" s="85">
        <f t="shared" si="24"/>
        <v>339.60363757691937</v>
      </c>
      <c r="BE38" s="85">
        <f t="shared" si="24"/>
        <v>111.67021390645263</v>
      </c>
      <c r="BF38" s="85">
        <f t="shared" si="24"/>
        <v>91.41850768197223</v>
      </c>
      <c r="BG38" s="85">
        <f t="shared" si="24"/>
        <v>64.98535748288117</v>
      </c>
      <c r="BH38" s="85">
        <f t="shared" si="24"/>
        <v>75.682923478704936</v>
      </c>
      <c r="BI38" s="85">
        <f t="shared" si="24"/>
        <v>64.148887895652294</v>
      </c>
      <c r="BJ38" s="85">
        <f t="shared" si="24"/>
        <v>39.966223909067445</v>
      </c>
      <c r="BK38" s="85">
        <f t="shared" si="24"/>
        <v>41.034220303351297</v>
      </c>
      <c r="BL38" s="85">
        <f t="shared" si="24"/>
        <v>50.52728184138293</v>
      </c>
      <c r="BM38" s="85">
        <f t="shared" si="24"/>
        <v>136.29587324781326</v>
      </c>
      <c r="BN38" s="85">
        <f t="shared" si="24"/>
        <v>163.33003008835843</v>
      </c>
      <c r="BO38" s="277">
        <f t="shared" si="24"/>
        <v>55.2769904313597</v>
      </c>
      <c r="BP38" s="304">
        <f t="shared" ref="BP38:CD38" si="25">BP17/BP6</f>
        <v>36.479367698272853</v>
      </c>
      <c r="BQ38" s="304">
        <f t="shared" si="25"/>
        <v>372.32793620437127</v>
      </c>
      <c r="BR38" s="304">
        <f t="shared" si="25"/>
        <v>112.52286404704331</v>
      </c>
      <c r="BS38" s="304">
        <f t="shared" si="25"/>
        <v>97.091234764083509</v>
      </c>
      <c r="BT38" s="304">
        <f t="shared" si="25"/>
        <v>64.90652364438526</v>
      </c>
      <c r="BU38" s="304">
        <f t="shared" si="25"/>
        <v>70.475691900203671</v>
      </c>
      <c r="BV38" s="304">
        <f t="shared" si="25"/>
        <v>74.475483471528818</v>
      </c>
      <c r="BW38" s="304">
        <f t="shared" si="25"/>
        <v>66.429678935347042</v>
      </c>
      <c r="BX38" s="304">
        <f t="shared" si="25"/>
        <v>36.609574265895112</v>
      </c>
      <c r="BY38" s="304">
        <f t="shared" si="25"/>
        <v>41.355992613862547</v>
      </c>
      <c r="BZ38" s="304">
        <f t="shared" si="25"/>
        <v>51.146017141128453</v>
      </c>
      <c r="CA38" s="304">
        <f t="shared" si="25"/>
        <v>155.0921026017555</v>
      </c>
      <c r="CB38" s="304">
        <f t="shared" si="25"/>
        <v>163.11822457540055</v>
      </c>
      <c r="CC38" s="304">
        <f t="shared" si="25"/>
        <v>58.244191321489943</v>
      </c>
      <c r="CD38" s="311">
        <f t="shared" si="25"/>
        <v>67.146904818257767</v>
      </c>
    </row>
    <row r="39" spans="1:82" x14ac:dyDescent="0.3">
      <c r="A39" s="2">
        <v>33</v>
      </c>
      <c r="B39" s="20" t="s">
        <v>42</v>
      </c>
      <c r="C39" s="85">
        <f>C14/C6</f>
        <v>13.109882587561156</v>
      </c>
      <c r="D39" s="85">
        <f t="shared" ref="D39:BO39" si="26">D14/D6</f>
        <v>0</v>
      </c>
      <c r="E39" s="85">
        <f t="shared" si="26"/>
        <v>23.26732752131009</v>
      </c>
      <c r="F39" s="85">
        <f t="shared" si="26"/>
        <v>15.030848560080029</v>
      </c>
      <c r="G39" s="85"/>
      <c r="H39" s="85">
        <f t="shared" si="26"/>
        <v>15.171390135992512</v>
      </c>
      <c r="I39" s="85">
        <f t="shared" si="26"/>
        <v>16.190496125293308</v>
      </c>
      <c r="J39" s="85"/>
      <c r="K39" s="85">
        <f t="shared" si="26"/>
        <v>13.304937156864185</v>
      </c>
      <c r="L39" s="85">
        <f t="shared" si="26"/>
        <v>10.329307708697337</v>
      </c>
      <c r="M39" s="85">
        <f t="shared" si="26"/>
        <v>43.33128550947152</v>
      </c>
      <c r="N39" s="85">
        <f t="shared" si="26"/>
        <v>28.124121528927798</v>
      </c>
      <c r="O39" s="277">
        <f t="shared" si="26"/>
        <v>23.197535611305451</v>
      </c>
      <c r="P39" s="85">
        <f t="shared" si="26"/>
        <v>13.549140161891076</v>
      </c>
      <c r="Q39" s="85">
        <f t="shared" si="26"/>
        <v>0</v>
      </c>
      <c r="R39" s="85">
        <f t="shared" si="26"/>
        <v>25.81697649473189</v>
      </c>
      <c r="S39" s="85">
        <f t="shared" si="26"/>
        <v>16.260696023116601</v>
      </c>
      <c r="T39" s="85">
        <f t="shared" si="26"/>
        <v>13.095583774766398</v>
      </c>
      <c r="U39" s="85">
        <f t="shared" si="26"/>
        <v>10.622160364038619</v>
      </c>
      <c r="V39" s="85">
        <f t="shared" si="26"/>
        <v>17.460027459743095</v>
      </c>
      <c r="W39" s="85">
        <f t="shared" si="26"/>
        <v>40.723777680520186</v>
      </c>
      <c r="X39" s="85">
        <f t="shared" si="26"/>
        <v>11.881905204081932</v>
      </c>
      <c r="Y39" s="85">
        <f t="shared" si="26"/>
        <v>10.734915692835527</v>
      </c>
      <c r="Z39" s="85">
        <f t="shared" si="26"/>
        <v>41.784751680666716</v>
      </c>
      <c r="AA39" s="85">
        <f t="shared" si="26"/>
        <v>27.985411590584672</v>
      </c>
      <c r="AB39" s="277">
        <f t="shared" si="26"/>
        <v>20.199686347184077</v>
      </c>
      <c r="AC39" s="85">
        <f t="shared" si="26"/>
        <v>13.163599136868012</v>
      </c>
      <c r="AD39" s="85">
        <f t="shared" si="26"/>
        <v>0</v>
      </c>
      <c r="AE39" s="85">
        <f t="shared" si="26"/>
        <v>26.541834296630157</v>
      </c>
      <c r="AF39" s="85">
        <f t="shared" si="26"/>
        <v>20.646732187410031</v>
      </c>
      <c r="AG39" s="85">
        <f t="shared" si="26"/>
        <v>15.904629681416052</v>
      </c>
      <c r="AH39" s="85">
        <f t="shared" si="26"/>
        <v>11.643967867611209</v>
      </c>
      <c r="AI39" s="85">
        <f t="shared" si="26"/>
        <v>15.907490406397905</v>
      </c>
      <c r="AJ39" s="85">
        <f t="shared" si="26"/>
        <v>13.004505321420359</v>
      </c>
      <c r="AK39" s="85">
        <f t="shared" si="26"/>
        <v>10.329494625536695</v>
      </c>
      <c r="AL39" s="85">
        <f t="shared" si="26"/>
        <v>11.173179296952377</v>
      </c>
      <c r="AM39" s="85">
        <f t="shared" si="26"/>
        <v>48.543668515685312</v>
      </c>
      <c r="AN39" s="85">
        <f t="shared" si="26"/>
        <v>28.667631276735683</v>
      </c>
      <c r="AO39" s="277">
        <f t="shared" si="26"/>
        <v>17.735603393341894</v>
      </c>
      <c r="AP39" s="85">
        <f t="shared" si="26"/>
        <v>14.959093448184962</v>
      </c>
      <c r="AQ39" s="85" t="e">
        <f t="shared" si="26"/>
        <v>#VALUE!</v>
      </c>
      <c r="AR39" s="85">
        <f t="shared" si="26"/>
        <v>28.03791133372598</v>
      </c>
      <c r="AS39" s="85">
        <f t="shared" si="26"/>
        <v>24.422296551607044</v>
      </c>
      <c r="AT39" s="85">
        <f t="shared" si="26"/>
        <v>15.254526260088346</v>
      </c>
      <c r="AU39" s="85">
        <f t="shared" si="26"/>
        <v>14.547586304485732</v>
      </c>
      <c r="AV39" s="85">
        <f t="shared" si="26"/>
        <v>15.617038530852549</v>
      </c>
      <c r="AW39" s="85">
        <f t="shared" si="26"/>
        <v>12.723008927320658</v>
      </c>
      <c r="AX39" s="85">
        <f t="shared" si="26"/>
        <v>12.592812072860218</v>
      </c>
      <c r="AY39" s="85">
        <f t="shared" si="26"/>
        <v>10.446433904177528</v>
      </c>
      <c r="AZ39" s="85">
        <f t="shared" si="26"/>
        <v>44.531446989168472</v>
      </c>
      <c r="BA39" s="85">
        <f t="shared" si="26"/>
        <v>31.839551948150831</v>
      </c>
      <c r="BB39" s="277">
        <f t="shared" si="26"/>
        <v>18.099961020228964</v>
      </c>
      <c r="BC39" s="85">
        <f t="shared" si="26"/>
        <v>14.468061613559646</v>
      </c>
      <c r="BD39" s="85">
        <f t="shared" si="26"/>
        <v>7.9290118738538613</v>
      </c>
      <c r="BE39" s="85">
        <f t="shared" si="26"/>
        <v>28.168487358537977</v>
      </c>
      <c r="BF39" s="85">
        <f t="shared" si="26"/>
        <v>22.155890338074219</v>
      </c>
      <c r="BG39" s="85">
        <f t="shared" si="26"/>
        <v>14.990452075489657</v>
      </c>
      <c r="BH39" s="85">
        <f t="shared" si="26"/>
        <v>15.309052721239954</v>
      </c>
      <c r="BI39" s="85">
        <f t="shared" si="26"/>
        <v>16.179347341051908</v>
      </c>
      <c r="BJ39" s="85">
        <f t="shared" si="26"/>
        <v>12.164956228049506</v>
      </c>
      <c r="BK39" s="85">
        <f t="shared" si="26"/>
        <v>12.915616466827348</v>
      </c>
      <c r="BL39" s="85">
        <f t="shared" si="26"/>
        <v>10.355860117638747</v>
      </c>
      <c r="BM39" s="85">
        <f t="shared" si="26"/>
        <v>38.9689155085794</v>
      </c>
      <c r="BN39" s="85">
        <f t="shared" si="26"/>
        <v>30.525696436910291</v>
      </c>
      <c r="BO39" s="277">
        <f t="shared" si="26"/>
        <v>18.421227314767691</v>
      </c>
      <c r="BP39" s="304">
        <f t="shared" ref="BP39:CD39" si="27">BP14/BP6</f>
        <v>15.720309323263159</v>
      </c>
      <c r="BQ39" s="304">
        <f t="shared" si="27"/>
        <v>42.776538654328881</v>
      </c>
      <c r="BR39" s="304">
        <f t="shared" si="27"/>
        <v>29.551136454868445</v>
      </c>
      <c r="BS39" s="304">
        <f t="shared" si="27"/>
        <v>23.347625159947732</v>
      </c>
      <c r="BT39" s="304">
        <f t="shared" si="27"/>
        <v>18.408846944960601</v>
      </c>
      <c r="BU39" s="304">
        <f t="shared" si="27"/>
        <v>14.142240304823435</v>
      </c>
      <c r="BV39" s="304">
        <f t="shared" si="27"/>
        <v>16.00320237579577</v>
      </c>
      <c r="BW39" s="304">
        <f t="shared" si="27"/>
        <v>15.429420530123382</v>
      </c>
      <c r="BX39" s="304">
        <f t="shared" si="27"/>
        <v>12.191492867787952</v>
      </c>
      <c r="BY39" s="304">
        <f t="shared" si="27"/>
        <v>15.917290644537529</v>
      </c>
      <c r="BZ39" s="304">
        <f t="shared" si="27"/>
        <v>10.128896441452858</v>
      </c>
      <c r="CA39" s="304">
        <f t="shared" si="27"/>
        <v>41.968986199714557</v>
      </c>
      <c r="CB39" s="304">
        <f t="shared" si="27"/>
        <v>17.851178078690594</v>
      </c>
      <c r="CC39" s="304">
        <f t="shared" si="27"/>
        <v>18.769360300957974</v>
      </c>
      <c r="CD39" s="311">
        <f t="shared" si="27"/>
        <v>16.692464039327234</v>
      </c>
    </row>
    <row r="40" spans="1:82" x14ac:dyDescent="0.3">
      <c r="A40" s="2">
        <v>34</v>
      </c>
      <c r="B40" s="20" t="s">
        <v>43</v>
      </c>
      <c r="C40" s="85">
        <f t="shared" ref="C40" si="28">C13/C6</f>
        <v>11.02902125179874</v>
      </c>
      <c r="D40" s="85">
        <f t="shared" ref="D40:BO40" si="29">D13/D6</f>
        <v>240.44133785306357</v>
      </c>
      <c r="E40" s="85">
        <f t="shared" si="29"/>
        <v>62.801428714802746</v>
      </c>
      <c r="F40" s="85">
        <f t="shared" si="29"/>
        <v>45.043489385983946</v>
      </c>
      <c r="G40" s="85"/>
      <c r="H40" s="85">
        <f t="shared" si="29"/>
        <v>38.283757538660211</v>
      </c>
      <c r="I40" s="85">
        <f t="shared" si="29"/>
        <v>36.645128032965651</v>
      </c>
      <c r="J40" s="85"/>
      <c r="K40" s="85">
        <f t="shared" si="29"/>
        <v>18.718564612532866</v>
      </c>
      <c r="L40" s="85">
        <f t="shared" si="29"/>
        <v>27.277631027992445</v>
      </c>
      <c r="M40" s="85">
        <f t="shared" si="29"/>
        <v>77.545829780562769</v>
      </c>
      <c r="N40" s="85">
        <f t="shared" si="29"/>
        <v>88.901414233748341</v>
      </c>
      <c r="O40" s="277">
        <f t="shared" si="29"/>
        <v>30.130499467346066</v>
      </c>
      <c r="P40" s="85">
        <f t="shared" si="29"/>
        <v>28.606634409634601</v>
      </c>
      <c r="Q40" s="85">
        <f t="shared" si="29"/>
        <v>334.79699324746633</v>
      </c>
      <c r="R40" s="85">
        <f t="shared" si="29"/>
        <v>101.86850367380622</v>
      </c>
      <c r="S40" s="85">
        <f t="shared" si="29"/>
        <v>72.455957301258437</v>
      </c>
      <c r="T40" s="85">
        <f t="shared" si="29"/>
        <v>63.236987956137021</v>
      </c>
      <c r="U40" s="85">
        <f t="shared" si="29"/>
        <v>58.884399622736787</v>
      </c>
      <c r="V40" s="85">
        <f t="shared" si="29"/>
        <v>66.360070241809197</v>
      </c>
      <c r="W40" s="85">
        <f t="shared" si="29"/>
        <v>153.20485886913423</v>
      </c>
      <c r="X40" s="85">
        <f t="shared" si="29"/>
        <v>28.353869981661028</v>
      </c>
      <c r="Y40" s="85">
        <f t="shared" si="29"/>
        <v>41.287179419726904</v>
      </c>
      <c r="Z40" s="85">
        <f t="shared" si="29"/>
        <v>165.30668429450526</v>
      </c>
      <c r="AA40" s="85">
        <f t="shared" si="29"/>
        <v>139.61036896591622</v>
      </c>
      <c r="AB40" s="277">
        <f t="shared" si="29"/>
        <v>49.27372073191232</v>
      </c>
      <c r="AC40" s="85">
        <f t="shared" si="29"/>
        <v>27.792632117166526</v>
      </c>
      <c r="AD40" s="85">
        <f t="shared" si="29"/>
        <v>466.41634112934599</v>
      </c>
      <c r="AE40" s="85">
        <f t="shared" si="29"/>
        <v>93.299621092820445</v>
      </c>
      <c r="AF40" s="85">
        <f t="shared" si="29"/>
        <v>68.27364099040831</v>
      </c>
      <c r="AG40" s="85">
        <f t="shared" si="29"/>
        <v>64.06296659607483</v>
      </c>
      <c r="AH40" s="85">
        <f t="shared" si="29"/>
        <v>58.236574126178901</v>
      </c>
      <c r="AI40" s="85">
        <f t="shared" si="29"/>
        <v>66.208994069768238</v>
      </c>
      <c r="AJ40" s="85">
        <f t="shared" si="29"/>
        <v>41.646224534375719</v>
      </c>
      <c r="AK40" s="85">
        <f t="shared" si="29"/>
        <v>24.932050711224619</v>
      </c>
      <c r="AL40" s="85">
        <f t="shared" si="29"/>
        <v>40.637269396196793</v>
      </c>
      <c r="AM40" s="85">
        <f t="shared" si="29"/>
        <v>140.16698901111181</v>
      </c>
      <c r="AN40" s="85">
        <f t="shared" si="29"/>
        <v>133.21114036427855</v>
      </c>
      <c r="AO40" s="277">
        <f t="shared" si="29"/>
        <v>42.011879537043825</v>
      </c>
      <c r="AP40" s="85">
        <f t="shared" si="29"/>
        <v>18.890557988936493</v>
      </c>
      <c r="AQ40" s="85">
        <f t="shared" si="29"/>
        <v>524.19468081514526</v>
      </c>
      <c r="AR40" s="85">
        <f t="shared" si="29"/>
        <v>84.00635615763845</v>
      </c>
      <c r="AS40" s="85">
        <f t="shared" si="29"/>
        <v>71.229434436388956</v>
      </c>
      <c r="AT40" s="85">
        <f t="shared" si="29"/>
        <v>50.518026325528822</v>
      </c>
      <c r="AU40" s="85">
        <f t="shared" si="29"/>
        <v>48.897625730544959</v>
      </c>
      <c r="AV40" s="85">
        <f t="shared" si="29"/>
        <v>53.084199920178705</v>
      </c>
      <c r="AW40" s="85">
        <f t="shared" si="29"/>
        <v>29.739867822166755</v>
      </c>
      <c r="AX40" s="85">
        <f t="shared" si="29"/>
        <v>20.915463064686097</v>
      </c>
      <c r="AY40" s="85">
        <f t="shared" si="29"/>
        <v>33.311407767584747</v>
      </c>
      <c r="AZ40" s="85">
        <f t="shared" si="29"/>
        <v>128.69666832210933</v>
      </c>
      <c r="BA40" s="85">
        <f t="shared" si="29"/>
        <v>123.74413220812293</v>
      </c>
      <c r="BB40" s="277">
        <f t="shared" si="29"/>
        <v>34.446020614032221</v>
      </c>
      <c r="BC40" s="85">
        <f t="shared" si="29"/>
        <v>18.134707421612202</v>
      </c>
      <c r="BD40" s="85">
        <f t="shared" si="29"/>
        <v>339.60363757691937</v>
      </c>
      <c r="BE40" s="85">
        <f t="shared" si="29"/>
        <v>80.011022773787005</v>
      </c>
      <c r="BF40" s="85">
        <f t="shared" si="29"/>
        <v>68.0971134088512</v>
      </c>
      <c r="BG40" s="85">
        <f t="shared" si="29"/>
        <v>46.367969279864752</v>
      </c>
      <c r="BH40" s="85">
        <f t="shared" si="29"/>
        <v>55.652880745385104</v>
      </c>
      <c r="BI40" s="85">
        <f t="shared" si="29"/>
        <v>48.282613616244952</v>
      </c>
      <c r="BJ40" s="85">
        <f t="shared" si="29"/>
        <v>27.467560608610764</v>
      </c>
      <c r="BK40" s="85">
        <f t="shared" si="29"/>
        <v>22.463381564656547</v>
      </c>
      <c r="BL40" s="85">
        <f t="shared" si="29"/>
        <v>31.823848725970993</v>
      </c>
      <c r="BM40" s="85">
        <f t="shared" si="29"/>
        <v>92.319172857551393</v>
      </c>
      <c r="BN40" s="85">
        <f t="shared" si="29"/>
        <v>123.63155194141794</v>
      </c>
      <c r="BO40" s="277">
        <f t="shared" si="29"/>
        <v>36.327657988988264</v>
      </c>
      <c r="BP40" s="304">
        <f t="shared" ref="BP40:CD40" si="30">BP13/BP6</f>
        <v>18.036610475693632</v>
      </c>
      <c r="BQ40" s="304">
        <f t="shared" si="30"/>
        <v>329.5513975500424</v>
      </c>
      <c r="BR40" s="304">
        <f t="shared" si="30"/>
        <v>80.395161603137183</v>
      </c>
      <c r="BS40" s="304">
        <f t="shared" si="30"/>
        <v>71.688759302956115</v>
      </c>
      <c r="BT40" s="304">
        <f t="shared" si="30"/>
        <v>44.6617317686338</v>
      </c>
      <c r="BU40" s="304">
        <f t="shared" si="30"/>
        <v>63.251732601822333</v>
      </c>
      <c r="BV40" s="304">
        <f t="shared" si="30"/>
        <v>49.590575628634305</v>
      </c>
      <c r="BW40" s="304">
        <f t="shared" si="30"/>
        <v>48.117249995736969</v>
      </c>
      <c r="BX40" s="304">
        <f t="shared" si="30"/>
        <v>24.039448265252904</v>
      </c>
      <c r="BY40" s="304">
        <f t="shared" si="30"/>
        <v>24.950391441950547</v>
      </c>
      <c r="BZ40" s="304">
        <f t="shared" si="30"/>
        <v>32.638576344762882</v>
      </c>
      <c r="CA40" s="304">
        <f t="shared" si="30"/>
        <v>106.40401085890917</v>
      </c>
      <c r="CB40" s="304">
        <f t="shared" si="30"/>
        <v>137.17576888960164</v>
      </c>
      <c r="CC40" s="304">
        <f t="shared" si="30"/>
        <v>38.702217456101145</v>
      </c>
      <c r="CD40" s="311">
        <f t="shared" si="30"/>
        <v>52.140171272672305</v>
      </c>
    </row>
    <row r="41" spans="1:82" x14ac:dyDescent="0.3">
      <c r="A41" s="2">
        <v>36</v>
      </c>
      <c r="B41" s="20" t="s">
        <v>50</v>
      </c>
      <c r="C41" s="85">
        <f t="shared" ref="C41" si="31">(C19*100000)/C6</f>
        <v>13.702291743043787</v>
      </c>
      <c r="D41" s="85">
        <f t="shared" ref="D41:BO41" si="32">(D19*100000)/D6</f>
        <v>902.69482557889614</v>
      </c>
      <c r="E41" s="85">
        <f t="shared" si="32"/>
        <v>82.564054182693752</v>
      </c>
      <c r="F41" s="85">
        <f t="shared" si="32"/>
        <v>39.480505617338146</v>
      </c>
      <c r="G41" s="85"/>
      <c r="H41" s="85">
        <f t="shared" si="32"/>
        <v>26.78757987760088</v>
      </c>
      <c r="I41" s="85">
        <f t="shared" si="32"/>
        <v>0</v>
      </c>
      <c r="J41" s="85"/>
      <c r="K41" s="85">
        <f t="shared" si="32"/>
        <v>104.6967178331945</v>
      </c>
      <c r="L41" s="85">
        <f t="shared" si="32"/>
        <v>95.043559188771781</v>
      </c>
      <c r="M41" s="85">
        <f t="shared" si="32"/>
        <v>399.88002661948371</v>
      </c>
      <c r="N41" s="85">
        <f t="shared" si="32"/>
        <v>565.86051351920992</v>
      </c>
      <c r="O41" s="277">
        <f t="shared" si="32"/>
        <v>0</v>
      </c>
      <c r="P41" s="85">
        <f t="shared" si="32"/>
        <v>13.113724519985629</v>
      </c>
      <c r="Q41" s="85">
        <f t="shared" si="32"/>
        <v>1173.1143901978785</v>
      </c>
      <c r="R41" s="85">
        <f t="shared" si="32"/>
        <v>95.977000579952346</v>
      </c>
      <c r="S41" s="85">
        <f t="shared" si="32"/>
        <v>51.352556174314095</v>
      </c>
      <c r="T41" s="85">
        <f t="shared" si="32"/>
        <v>91.307568310879006</v>
      </c>
      <c r="U41" s="85">
        <f t="shared" si="32"/>
        <v>109.68033396625691</v>
      </c>
      <c r="V41" s="85">
        <f t="shared" si="32"/>
        <v>0</v>
      </c>
      <c r="W41" s="85">
        <f t="shared" si="32"/>
        <v>409.23972353583122</v>
      </c>
      <c r="X41" s="85">
        <f t="shared" si="32"/>
        <v>134.9378625064578</v>
      </c>
      <c r="Y41" s="85">
        <f t="shared" si="32"/>
        <v>128.78656734344773</v>
      </c>
      <c r="Z41" s="85">
        <f t="shared" si="32"/>
        <v>584.82498015860131</v>
      </c>
      <c r="AA41" s="85">
        <f t="shared" si="32"/>
        <v>786.29577465266618</v>
      </c>
      <c r="AB41" s="277">
        <f t="shared" si="32"/>
        <v>207.32125655676805</v>
      </c>
      <c r="AC41" s="85">
        <f t="shared" si="32"/>
        <v>9.3020520484497453</v>
      </c>
      <c r="AD41" s="85">
        <f t="shared" si="32"/>
        <v>1626.5910019149676</v>
      </c>
      <c r="AE41" s="85">
        <f t="shared" si="32"/>
        <v>96.874208827956323</v>
      </c>
      <c r="AF41" s="85">
        <f t="shared" si="32"/>
        <v>64.372713860172084</v>
      </c>
      <c r="AG41" s="85">
        <f t="shared" si="32"/>
        <v>103.95128910825652</v>
      </c>
      <c r="AH41" s="85">
        <f t="shared" si="32"/>
        <v>154.61709392848732</v>
      </c>
      <c r="AI41" s="85">
        <f t="shared" si="32"/>
        <v>0</v>
      </c>
      <c r="AJ41" s="85">
        <f t="shared" si="32"/>
        <v>102.9793384357652</v>
      </c>
      <c r="AK41" s="85">
        <f t="shared" si="32"/>
        <v>136.14515045274376</v>
      </c>
      <c r="AL41" s="85">
        <f t="shared" si="32"/>
        <v>101.19118619172011</v>
      </c>
      <c r="AM41" s="85">
        <f t="shared" si="32"/>
        <v>568.03654887126675</v>
      </c>
      <c r="AN41" s="85">
        <f t="shared" si="32"/>
        <v>765.93200720892412</v>
      </c>
      <c r="AO41" s="277">
        <f t="shared" si="32"/>
        <v>201.16014666509486</v>
      </c>
      <c r="AP41" s="85">
        <f t="shared" si="32"/>
        <v>17.895978677778739</v>
      </c>
      <c r="AQ41" s="85">
        <f t="shared" si="32"/>
        <v>1454.6243820089232</v>
      </c>
      <c r="AR41" s="85">
        <f t="shared" si="32"/>
        <v>80.198292864994144</v>
      </c>
      <c r="AS41" s="85">
        <f t="shared" si="32"/>
        <v>55.880605124199874</v>
      </c>
      <c r="AT41" s="85">
        <f t="shared" si="32"/>
        <v>79.013423521124849</v>
      </c>
      <c r="AU41" s="85">
        <f t="shared" si="32"/>
        <v>126.41823986994434</v>
      </c>
      <c r="AV41" s="85">
        <f t="shared" si="32"/>
        <v>0</v>
      </c>
      <c r="AW41" s="85">
        <f t="shared" si="32"/>
        <v>87.235587025457505</v>
      </c>
      <c r="AX41" s="85">
        <f t="shared" si="32"/>
        <v>121.58586832718242</v>
      </c>
      <c r="AY41" s="85">
        <f t="shared" si="32"/>
        <v>83.703180612033577</v>
      </c>
      <c r="AZ41" s="85">
        <f t="shared" si="32"/>
        <v>471.79737060095653</v>
      </c>
      <c r="BA41" s="85">
        <f t="shared" si="32"/>
        <v>758.73513980792006</v>
      </c>
      <c r="BB41" s="277">
        <f t="shared" si="32"/>
        <v>170.6823610177116</v>
      </c>
      <c r="BC41" s="85">
        <f t="shared" si="32"/>
        <v>14.748557456132659</v>
      </c>
      <c r="BD41" s="85">
        <f t="shared" si="32"/>
        <v>953.70154818714241</v>
      </c>
      <c r="BE41" s="85">
        <f t="shared" si="32"/>
        <v>76.593433118463054</v>
      </c>
      <c r="BF41" s="85">
        <f t="shared" si="32"/>
        <v>46.054378792626181</v>
      </c>
      <c r="BG41" s="85">
        <f t="shared" si="32"/>
        <v>71.84326327522173</v>
      </c>
      <c r="BH41" s="85">
        <f t="shared" si="32"/>
        <v>97.34742170770356</v>
      </c>
      <c r="BI41" s="85">
        <f t="shared" si="32"/>
        <v>0</v>
      </c>
      <c r="BJ41" s="85">
        <f t="shared" si="32"/>
        <v>113.77789746524388</v>
      </c>
      <c r="BK41" s="85">
        <f t="shared" si="32"/>
        <v>100.20621959880378</v>
      </c>
      <c r="BL41" s="85">
        <f t="shared" si="32"/>
        <v>75.87775840292916</v>
      </c>
      <c r="BM41" s="85">
        <f t="shared" si="32"/>
        <v>353.48861276737506</v>
      </c>
      <c r="BN41" s="85">
        <f t="shared" si="32"/>
        <v>687.15856187638792</v>
      </c>
      <c r="BO41" s="277">
        <f t="shared" si="32"/>
        <v>139.52994384284847</v>
      </c>
      <c r="BP41" s="304">
        <f t="shared" ref="BP41:CD41" si="33">(BP19*100000)/BP6</f>
        <v>13.046909972668141</v>
      </c>
      <c r="BQ41" s="304">
        <f t="shared" si="33"/>
        <v>840.33558669985769</v>
      </c>
      <c r="BR41" s="304">
        <f t="shared" si="33"/>
        <v>76.721054873460318</v>
      </c>
      <c r="BS41" s="304">
        <f t="shared" si="33"/>
        <v>23.100123833163835</v>
      </c>
      <c r="BT41" s="304">
        <f t="shared" si="33"/>
        <v>50.001490505480092</v>
      </c>
      <c r="BU41" s="304">
        <f t="shared" si="33"/>
        <v>74.839126881774405</v>
      </c>
      <c r="BV41" s="304">
        <f t="shared" si="33"/>
        <v>56.702811186547777</v>
      </c>
      <c r="BW41" s="304">
        <f t="shared" si="33"/>
        <v>0</v>
      </c>
      <c r="BX41" s="304">
        <f t="shared" si="33"/>
        <v>108.54520892555266</v>
      </c>
      <c r="BY41" s="304">
        <f t="shared" si="33"/>
        <v>128.72263571154133</v>
      </c>
      <c r="BZ41" s="304">
        <f t="shared" si="33"/>
        <v>61.041052198723357</v>
      </c>
      <c r="CA41" s="304">
        <f t="shared" si="33"/>
        <v>439.11323508912687</v>
      </c>
      <c r="CB41" s="304">
        <f t="shared" si="33"/>
        <v>1409.3093649926582</v>
      </c>
      <c r="CC41" s="304">
        <f t="shared" si="33"/>
        <v>0</v>
      </c>
      <c r="CD41" s="311">
        <f t="shared" si="33"/>
        <v>59.993246973387905</v>
      </c>
    </row>
    <row r="42" spans="1:82" x14ac:dyDescent="0.3">
      <c r="A42" s="2">
        <v>37</v>
      </c>
      <c r="B42" s="20" t="s">
        <v>51</v>
      </c>
      <c r="C42" s="85">
        <f t="shared" ref="C42" si="34">(C19*100000)/C7</f>
        <v>2.0639129434764056</v>
      </c>
      <c r="D42" s="85">
        <f t="shared" ref="D42:BO42" si="35">(D19*100000)/D7</f>
        <v>30.227868866517564</v>
      </c>
      <c r="E42" s="85">
        <f t="shared" si="35"/>
        <v>5.134767021491232</v>
      </c>
      <c r="F42" s="85">
        <f t="shared" si="35"/>
        <v>5.8349846335012652</v>
      </c>
      <c r="G42" s="85"/>
      <c r="H42" s="85">
        <f t="shared" si="35"/>
        <v>2.3374851551135145</v>
      </c>
      <c r="I42" s="85">
        <f t="shared" si="35"/>
        <v>0</v>
      </c>
      <c r="J42" s="85"/>
      <c r="K42" s="85">
        <f t="shared" si="35"/>
        <v>9.2324634385100737</v>
      </c>
      <c r="L42" s="85">
        <f t="shared" si="35"/>
        <v>10.200966631125075</v>
      </c>
      <c r="M42" s="85">
        <f t="shared" si="35"/>
        <v>41.474434087041047</v>
      </c>
      <c r="N42" s="85">
        <f t="shared" si="35"/>
        <v>46.910327814082173</v>
      </c>
      <c r="O42" s="277">
        <f t="shared" si="35"/>
        <v>0</v>
      </c>
      <c r="P42" s="85">
        <f t="shared" si="35"/>
        <v>2.164789988754912</v>
      </c>
      <c r="Q42" s="85">
        <f t="shared" si="35"/>
        <v>41.024216594498867</v>
      </c>
      <c r="R42" s="85">
        <f t="shared" si="35"/>
        <v>8.8260478299982275</v>
      </c>
      <c r="S42" s="85">
        <f t="shared" si="35"/>
        <v>6.2920390775995996</v>
      </c>
      <c r="T42" s="85">
        <f t="shared" si="35"/>
        <v>9.3016444041823423</v>
      </c>
      <c r="U42" s="85">
        <f t="shared" si="35"/>
        <v>7.7787470898054547</v>
      </c>
      <c r="V42" s="85">
        <f t="shared" si="35"/>
        <v>0</v>
      </c>
      <c r="W42" s="85">
        <f t="shared" si="35"/>
        <v>17.169022324092815</v>
      </c>
      <c r="X42" s="85">
        <f t="shared" si="35"/>
        <v>11.967130374338323</v>
      </c>
      <c r="Y42" s="85">
        <f t="shared" si="35"/>
        <v>13.724455492072662</v>
      </c>
      <c r="Z42" s="85">
        <f t="shared" si="35"/>
        <v>60.722534586107649</v>
      </c>
      <c r="AA42" s="85">
        <f t="shared" si="35"/>
        <v>61.655792186404078</v>
      </c>
      <c r="AB42" s="277">
        <f t="shared" si="35"/>
        <v>15.288924845635187</v>
      </c>
      <c r="AC42" s="85">
        <f t="shared" si="35"/>
        <v>1.4851204511163532</v>
      </c>
      <c r="AD42" s="85">
        <f t="shared" si="35"/>
        <v>49.955278872018141</v>
      </c>
      <c r="AE42" s="85">
        <f t="shared" si="35"/>
        <v>8.9664819839690644</v>
      </c>
      <c r="AF42" s="85">
        <f t="shared" si="35"/>
        <v>7.86649891569194</v>
      </c>
      <c r="AG42" s="85">
        <f t="shared" si="35"/>
        <v>10.65156831234051</v>
      </c>
      <c r="AH42" s="85">
        <f t="shared" si="35"/>
        <v>11.254430788995743</v>
      </c>
      <c r="AI42" s="85">
        <f t="shared" si="35"/>
        <v>0</v>
      </c>
      <c r="AJ42" s="85">
        <f t="shared" si="35"/>
        <v>12.840250406262861</v>
      </c>
      <c r="AK42" s="85">
        <f t="shared" si="35"/>
        <v>12.166786785834532</v>
      </c>
      <c r="AL42" s="85">
        <f t="shared" si="35"/>
        <v>10.790326513277984</v>
      </c>
      <c r="AM42" s="85">
        <f t="shared" si="35"/>
        <v>59.307651546878667</v>
      </c>
      <c r="AN42" s="85">
        <f t="shared" si="35"/>
        <v>61.603676721732107</v>
      </c>
      <c r="AO42" s="277">
        <f t="shared" si="35"/>
        <v>16.195340489389036</v>
      </c>
      <c r="AP42" s="85">
        <f t="shared" si="35"/>
        <v>3.8360644866385374</v>
      </c>
      <c r="AQ42" s="85">
        <f t="shared" si="35"/>
        <v>45.950811391864065</v>
      </c>
      <c r="AR42" s="85">
        <f t="shared" si="35"/>
        <v>7.4405855561255265</v>
      </c>
      <c r="AS42" s="85">
        <f t="shared" si="35"/>
        <v>6.1444534419050587</v>
      </c>
      <c r="AT42" s="85">
        <f t="shared" si="35"/>
        <v>7.9929830066941232</v>
      </c>
      <c r="AU42" s="85">
        <f t="shared" si="35"/>
        <v>10.17448769478654</v>
      </c>
      <c r="AV42" s="85">
        <f t="shared" si="35"/>
        <v>0</v>
      </c>
      <c r="AW42" s="85">
        <f t="shared" si="35"/>
        <v>11.929706290335066</v>
      </c>
      <c r="AX42" s="85">
        <f t="shared" si="35"/>
        <v>14.700973896502758</v>
      </c>
      <c r="AY42" s="85">
        <f t="shared" si="35"/>
        <v>8.887305445143669</v>
      </c>
      <c r="AZ42" s="85">
        <f t="shared" si="35"/>
        <v>50.001045464800484</v>
      </c>
      <c r="BA42" s="85">
        <f t="shared" si="35"/>
        <v>63.168257667100761</v>
      </c>
      <c r="BB42" s="277">
        <f t="shared" si="35"/>
        <v>16.722591368623803</v>
      </c>
      <c r="BC42" s="85">
        <f t="shared" si="35"/>
        <v>3.2418060904931845</v>
      </c>
      <c r="BD42" s="85">
        <f t="shared" si="35"/>
        <v>42.231609833293987</v>
      </c>
      <c r="BE42" s="85">
        <f t="shared" si="35"/>
        <v>7.1602631128478489</v>
      </c>
      <c r="BF42" s="85">
        <f t="shared" si="35"/>
        <v>5.8422175231845603</v>
      </c>
      <c r="BG42" s="85">
        <f t="shared" si="35"/>
        <v>7.2548923569612462</v>
      </c>
      <c r="BH42" s="85">
        <f t="shared" si="35"/>
        <v>8.5024497887229984</v>
      </c>
      <c r="BI42" s="85">
        <f t="shared" si="35"/>
        <v>0</v>
      </c>
      <c r="BJ42" s="85">
        <f t="shared" si="35"/>
        <v>15.208466864872285</v>
      </c>
      <c r="BK42" s="85">
        <f t="shared" si="35"/>
        <v>8.997842059434781</v>
      </c>
      <c r="BL42" s="85">
        <f t="shared" si="35"/>
        <v>8.3545443138163034</v>
      </c>
      <c r="BM42" s="85">
        <f t="shared" si="35"/>
        <v>38.078455644278343</v>
      </c>
      <c r="BN42" s="85">
        <f t="shared" si="35"/>
        <v>57.52126921903163</v>
      </c>
      <c r="BO42" s="277">
        <f t="shared" si="35"/>
        <v>14.795595886524021</v>
      </c>
      <c r="BP42" s="304">
        <f t="shared" ref="BP42:CD42" si="36">(BP19*100000)/BP7</f>
        <v>2.8162343614543386</v>
      </c>
      <c r="BQ42" s="304">
        <f t="shared" si="36"/>
        <v>34.457486098668205</v>
      </c>
      <c r="BR42" s="304">
        <f t="shared" si="36"/>
        <v>7.1313930108424337</v>
      </c>
      <c r="BS42" s="304">
        <f t="shared" si="36"/>
        <v>2.8875154791454793</v>
      </c>
      <c r="BT42" s="304">
        <f t="shared" si="36"/>
        <v>7.0424634514760696</v>
      </c>
      <c r="BU42" s="304">
        <f t="shared" si="36"/>
        <v>4.5748770460052306</v>
      </c>
      <c r="BV42" s="304">
        <f t="shared" si="36"/>
        <v>4.9739308200232974</v>
      </c>
      <c r="BW42" s="304">
        <f t="shared" si="36"/>
        <v>0</v>
      </c>
      <c r="BX42" s="304">
        <f t="shared" si="36"/>
        <v>14.798545577350074</v>
      </c>
      <c r="BY42" s="304">
        <f t="shared" si="36"/>
        <v>11.541447498317618</v>
      </c>
      <c r="BZ42" s="304">
        <f t="shared" si="36"/>
        <v>7.0718067130406244</v>
      </c>
      <c r="CA42" s="304">
        <f t="shared" si="36"/>
        <v>47.745653974148318</v>
      </c>
      <c r="CB42" s="304">
        <f t="shared" si="36"/>
        <v>117.37595261136086</v>
      </c>
      <c r="CC42" s="304">
        <f t="shared" si="36"/>
        <v>0</v>
      </c>
      <c r="CD42" s="311">
        <f t="shared" si="36"/>
        <v>5.5422937146592357</v>
      </c>
    </row>
    <row r="43" spans="1:82" x14ac:dyDescent="0.3">
      <c r="A43" s="26">
        <v>38</v>
      </c>
      <c r="B43" s="27" t="s">
        <v>63</v>
      </c>
      <c r="C43" s="276">
        <f t="shared" ref="C43" si="37">C13/C27</f>
        <v>2937.9098798907039</v>
      </c>
      <c r="D43" s="276">
        <f t="shared" ref="D43:BO43" si="38">D13/D27</f>
        <v>5234.8514730112702</v>
      </c>
      <c r="E43" s="276">
        <f t="shared" si="38"/>
        <v>1833.8239208581965</v>
      </c>
      <c r="F43" s="276">
        <f t="shared" si="38"/>
        <v>1543.0895401989783</v>
      </c>
      <c r="G43" s="276">
        <f t="shared" ref="G43" si="39">G13/G27</f>
        <v>0</v>
      </c>
      <c r="H43" s="276">
        <f t="shared" si="38"/>
        <v>1707.0301149928659</v>
      </c>
      <c r="I43" s="276">
        <f t="shared" si="38"/>
        <v>2163.1130927102472</v>
      </c>
      <c r="J43" s="276">
        <f t="shared" ref="J43" si="40">J13/J27</f>
        <v>0</v>
      </c>
      <c r="K43" s="276">
        <f t="shared" si="38"/>
        <v>1724.4151920213319</v>
      </c>
      <c r="L43" s="276">
        <f t="shared" si="38"/>
        <v>1701.5770400073384</v>
      </c>
      <c r="M43" s="276">
        <f t="shared" si="38"/>
        <v>1888.4862762695386</v>
      </c>
      <c r="N43" s="276">
        <f t="shared" si="38"/>
        <v>3105.6310167019333</v>
      </c>
      <c r="O43" s="281">
        <f t="shared" si="38"/>
        <v>2355.9150377376018</v>
      </c>
      <c r="P43" s="276">
        <f t="shared" si="38"/>
        <v>4561.8532514124581</v>
      </c>
      <c r="Q43" s="276">
        <f t="shared" si="38"/>
        <v>5571.5495018019928</v>
      </c>
      <c r="R43" s="276">
        <f t="shared" si="38"/>
        <v>1980.6153091392644</v>
      </c>
      <c r="S43" s="276">
        <f t="shared" si="38"/>
        <v>1703.8073515513597</v>
      </c>
      <c r="T43" s="276">
        <f t="shared" si="38"/>
        <v>1791.5536748085342</v>
      </c>
      <c r="U43" s="276">
        <f t="shared" si="38"/>
        <v>1887.5488483845445</v>
      </c>
      <c r="V43" s="276">
        <f t="shared" si="38"/>
        <v>2925.4867636884965</v>
      </c>
      <c r="W43" s="276">
        <f t="shared" si="38"/>
        <v>4234.5541772513825</v>
      </c>
      <c r="X43" s="276">
        <f t="shared" si="38"/>
        <v>1816.3865313141398</v>
      </c>
      <c r="Y43" s="276">
        <f t="shared" si="38"/>
        <v>1941.201340359534</v>
      </c>
      <c r="Z43" s="276">
        <f t="shared" si="38"/>
        <v>2782.2333149850324</v>
      </c>
      <c r="AA43" s="276">
        <f t="shared" si="38"/>
        <v>3411.3196260907412</v>
      </c>
      <c r="AB43" s="281">
        <f t="shared" si="38"/>
        <v>3193.0515398601019</v>
      </c>
      <c r="AC43" s="276">
        <f t="shared" si="38"/>
        <v>4525.3888323865749</v>
      </c>
      <c r="AD43" s="276">
        <f t="shared" si="38"/>
        <v>5795.2498928820096</v>
      </c>
      <c r="AE43" s="276">
        <f t="shared" si="38"/>
        <v>2031.6877619446773</v>
      </c>
      <c r="AF43" s="276">
        <f t="shared" si="38"/>
        <v>1524.8740314250599</v>
      </c>
      <c r="AG43" s="276">
        <f t="shared" si="38"/>
        <v>1744.7610801124486</v>
      </c>
      <c r="AH43" s="276">
        <f t="shared" si="38"/>
        <v>1919.2241784673392</v>
      </c>
      <c r="AI43" s="276">
        <f t="shared" si="38"/>
        <v>3338.2584549720809</v>
      </c>
      <c r="AJ43" s="276">
        <f t="shared" si="38"/>
        <v>3969.2997365459182</v>
      </c>
      <c r="AK43" s="276">
        <f t="shared" si="38"/>
        <v>1829.5586724514142</v>
      </c>
      <c r="AL43" s="276">
        <f t="shared" si="38"/>
        <v>1954.2676181749302</v>
      </c>
      <c r="AM43" s="276">
        <f t="shared" si="38"/>
        <v>2267.4321393064802</v>
      </c>
      <c r="AN43" s="276">
        <f t="shared" si="38"/>
        <v>3424.7132330608083</v>
      </c>
      <c r="AO43" s="281">
        <f t="shared" si="38"/>
        <v>3095.9830912648813</v>
      </c>
      <c r="AP43" s="276">
        <f t="shared" si="38"/>
        <v>4156.4107006222303</v>
      </c>
      <c r="AQ43" s="276">
        <f t="shared" si="38"/>
        <v>7330.3742260114122</v>
      </c>
      <c r="AR43" s="276">
        <f t="shared" si="38"/>
        <v>2117.9277649397764</v>
      </c>
      <c r="AS43" s="276">
        <f t="shared" si="38"/>
        <v>1720.7321314896606</v>
      </c>
      <c r="AT43" s="276">
        <f t="shared" si="38"/>
        <v>1723.7943469418499</v>
      </c>
      <c r="AU43" s="276">
        <f t="shared" si="38"/>
        <v>1967.0798815613541</v>
      </c>
      <c r="AV43" s="276">
        <f t="shared" si="38"/>
        <v>3311.5211291959399</v>
      </c>
      <c r="AW43" s="276">
        <f t="shared" si="38"/>
        <v>3641.4981646426277</v>
      </c>
      <c r="AX43" s="276">
        <f t="shared" si="38"/>
        <v>1889.8342441224049</v>
      </c>
      <c r="AY43" s="276">
        <f t="shared" si="38"/>
        <v>1967.1673523305071</v>
      </c>
      <c r="AZ43" s="276">
        <f t="shared" si="38"/>
        <v>2512.9359634076613</v>
      </c>
      <c r="BA43" s="276">
        <f t="shared" si="38"/>
        <v>3518.5888463299889</v>
      </c>
      <c r="BB43" s="281">
        <f t="shared" si="38"/>
        <v>3134.9637657365629</v>
      </c>
      <c r="BC43" s="276">
        <f t="shared" si="38"/>
        <v>4418.9060520883613</v>
      </c>
      <c r="BD43" s="276">
        <f t="shared" si="38"/>
        <v>7223.9502239853191</v>
      </c>
      <c r="BE43" s="276">
        <f t="shared" si="38"/>
        <v>2199.2138436878886</v>
      </c>
      <c r="BF43" s="276">
        <f t="shared" si="38"/>
        <v>1946.5585892140341</v>
      </c>
      <c r="BG43" s="276">
        <f t="shared" si="38"/>
        <v>1763.0889184597565</v>
      </c>
      <c r="BH43" s="276">
        <f t="shared" si="38"/>
        <v>2367.6218762903336</v>
      </c>
      <c r="BI43" s="276">
        <f t="shared" si="38"/>
        <v>3520.6138295927694</v>
      </c>
      <c r="BJ43" s="276">
        <f t="shared" si="38"/>
        <v>3788.1732097399431</v>
      </c>
      <c r="BK43" s="276">
        <f t="shared" si="38"/>
        <v>2296.0164691621208</v>
      </c>
      <c r="BL43" s="276">
        <f t="shared" si="38"/>
        <v>2104.4314556827853</v>
      </c>
      <c r="BM43" s="276">
        <f t="shared" si="38"/>
        <v>2341.990507629534</v>
      </c>
      <c r="BN43" s="276">
        <f t="shared" si="38"/>
        <v>4023.6633289641786</v>
      </c>
      <c r="BO43" s="281">
        <f t="shared" si="38"/>
        <v>3901.1856284878913</v>
      </c>
      <c r="BP43" s="305">
        <f t="shared" ref="BP43:CD43" si="41">BP13/BP27</f>
        <v>4381.5358511620989</v>
      </c>
      <c r="BQ43" s="305">
        <f t="shared" si="41"/>
        <v>6736.3189612673714</v>
      </c>
      <c r="BR43" s="305">
        <f t="shared" si="41"/>
        <v>2368.3769744674519</v>
      </c>
      <c r="BS43" s="305">
        <f t="shared" si="41"/>
        <v>1948.6179809836233</v>
      </c>
      <c r="BT43" s="305">
        <f t="shared" si="41"/>
        <v>1752.7542194421912</v>
      </c>
      <c r="BU43" s="305">
        <f t="shared" si="41"/>
        <v>2419.1600966723699</v>
      </c>
      <c r="BV43" s="305">
        <f t="shared" si="41"/>
        <v>2261.145464181544</v>
      </c>
      <c r="BW43" s="305">
        <f t="shared" si="41"/>
        <v>3452.2343732792438</v>
      </c>
      <c r="BX43" s="305">
        <f t="shared" si="41"/>
        <v>3356.2212148337399</v>
      </c>
      <c r="BY43" s="305">
        <f t="shared" si="41"/>
        <v>2670.2102137668858</v>
      </c>
      <c r="BZ43" s="305">
        <f t="shared" si="41"/>
        <v>2233.748676897731</v>
      </c>
      <c r="CA43" s="305">
        <f t="shared" si="41"/>
        <v>2563.9665218162468</v>
      </c>
      <c r="CB43" s="305">
        <f t="shared" si="41"/>
        <v>4504.208901559562</v>
      </c>
      <c r="CC43" s="305">
        <f t="shared" si="41"/>
        <v>4218.6345734331699</v>
      </c>
      <c r="CD43" s="312">
        <f t="shared" si="41"/>
        <v>2024.9780035753417</v>
      </c>
    </row>
    <row r="44" spans="1:82" x14ac:dyDescent="0.3">
      <c r="A44" s="26">
        <v>39</v>
      </c>
      <c r="B44" s="27" t="s">
        <v>64</v>
      </c>
      <c r="C44" s="276">
        <f t="shared" ref="C44" si="42">C32/C27</f>
        <v>3370.3115722786965</v>
      </c>
      <c r="D44" s="276">
        <f t="shared" ref="D44:BO44" si="43">D32/D27</f>
        <v>5234.8514730112702</v>
      </c>
      <c r="E44" s="276">
        <f t="shared" si="43"/>
        <v>2040.0515827585405</v>
      </c>
      <c r="F44" s="276">
        <f t="shared" si="43"/>
        <v>1543.0895401989783</v>
      </c>
      <c r="G44" s="276">
        <f t="shared" ref="G44" si="44">G32/G27</f>
        <v>0</v>
      </c>
      <c r="H44" s="276">
        <f t="shared" si="43"/>
        <v>1973.0621547741816</v>
      </c>
      <c r="I44" s="276">
        <f t="shared" si="43"/>
        <v>2172.3576801624708</v>
      </c>
      <c r="J44" s="276">
        <f t="shared" ref="J44" si="45">J32/J27</f>
        <v>0</v>
      </c>
      <c r="K44" s="276">
        <f t="shared" si="43"/>
        <v>1839.379134299294</v>
      </c>
      <c r="L44" s="276">
        <f t="shared" si="43"/>
        <v>2144.3408650129077</v>
      </c>
      <c r="M44" s="276">
        <f t="shared" si="43"/>
        <v>1933.1388393538252</v>
      </c>
      <c r="N44" s="276">
        <f t="shared" si="43"/>
        <v>2935.9657333032028</v>
      </c>
      <c r="O44" s="281">
        <f t="shared" si="43"/>
        <v>2693.0940188502677</v>
      </c>
      <c r="P44" s="276">
        <f t="shared" si="43"/>
        <v>4910.6295527055509</v>
      </c>
      <c r="Q44" s="276">
        <f t="shared" si="43"/>
        <v>5571.5495018019928</v>
      </c>
      <c r="R44" s="276">
        <f t="shared" si="43"/>
        <v>2073.4084717972551</v>
      </c>
      <c r="S44" s="276">
        <f t="shared" si="43"/>
        <v>1703.8073515513597</v>
      </c>
      <c r="T44" s="276">
        <f t="shared" si="43"/>
        <v>1715.8061100566845</v>
      </c>
      <c r="U44" s="276">
        <f t="shared" si="43"/>
        <v>2266.5880425077853</v>
      </c>
      <c r="V44" s="276">
        <f t="shared" si="43"/>
        <v>2926.8560113525541</v>
      </c>
      <c r="W44" s="276">
        <f t="shared" si="43"/>
        <v>3717.8477780343769</v>
      </c>
      <c r="X44" s="276">
        <f t="shared" si="43"/>
        <v>2801.2170965925961</v>
      </c>
      <c r="Y44" s="276">
        <f t="shared" si="43"/>
        <v>2377.1380850239721</v>
      </c>
      <c r="Z44" s="276">
        <f t="shared" si="43"/>
        <v>2300.8135221951607</v>
      </c>
      <c r="AA44" s="276">
        <f t="shared" si="43"/>
        <v>3349.8014259953989</v>
      </c>
      <c r="AB44" s="281">
        <f t="shared" si="43"/>
        <v>3520.2520117408922</v>
      </c>
      <c r="AC44" s="276">
        <f t="shared" si="43"/>
        <v>4871.3772480341331</v>
      </c>
      <c r="AD44" s="276">
        <f t="shared" si="43"/>
        <v>5795.2498928820096</v>
      </c>
      <c r="AE44" s="276">
        <f t="shared" si="43"/>
        <v>2162.1659500377718</v>
      </c>
      <c r="AF44" s="276">
        <f t="shared" si="43"/>
        <v>1542.7630598189232</v>
      </c>
      <c r="AG44" s="276">
        <f t="shared" si="43"/>
        <v>1727.141979466759</v>
      </c>
      <c r="AH44" s="276">
        <f t="shared" si="43"/>
        <v>2263.2814681589507</v>
      </c>
      <c r="AI44" s="276">
        <f t="shared" si="43"/>
        <v>3308.3461488257417</v>
      </c>
      <c r="AJ44" s="276">
        <f t="shared" si="43"/>
        <v>3605.5836893276833</v>
      </c>
      <c r="AK44" s="276">
        <f t="shared" si="43"/>
        <v>2651.1631444163322</v>
      </c>
      <c r="AL44" s="276">
        <f t="shared" si="43"/>
        <v>2415.9241264979296</v>
      </c>
      <c r="AM44" s="276">
        <f t="shared" si="43"/>
        <v>2154.8695319796343</v>
      </c>
      <c r="AN44" s="276">
        <f t="shared" si="43"/>
        <v>3443.0231042875866</v>
      </c>
      <c r="AO44" s="281">
        <f t="shared" si="43"/>
        <v>3420.2289893805228</v>
      </c>
      <c r="AP44" s="276">
        <f t="shared" si="43"/>
        <v>4771.1724197669882</v>
      </c>
      <c r="AQ44" s="276" t="e">
        <f t="shared" si="43"/>
        <v>#VALUE!</v>
      </c>
      <c r="AR44" s="276">
        <f t="shared" si="43"/>
        <v>2158.6381688849874</v>
      </c>
      <c r="AS44" s="276">
        <f t="shared" si="43"/>
        <v>1733.2012049062523</v>
      </c>
      <c r="AT44" s="276">
        <f t="shared" si="43"/>
        <v>1743.6504987349622</v>
      </c>
      <c r="AU44" s="276">
        <f t="shared" si="43"/>
        <v>2347.0184397213966</v>
      </c>
      <c r="AV44" s="276">
        <f t="shared" si="43"/>
        <v>3343.956498290438</v>
      </c>
      <c r="AW44" s="276">
        <f t="shared" si="43"/>
        <v>3412.3437482457289</v>
      </c>
      <c r="AX44" s="276">
        <f t="shared" si="43"/>
        <v>2621.6124518931929</v>
      </c>
      <c r="AY44" s="276">
        <f t="shared" si="43"/>
        <v>2457.5446945688996</v>
      </c>
      <c r="AZ44" s="276">
        <f t="shared" si="43"/>
        <v>2338.9180396316692</v>
      </c>
      <c r="BA44" s="276">
        <f t="shared" si="43"/>
        <v>3647.7939880927597</v>
      </c>
      <c r="BB44" s="281">
        <f t="shared" si="43"/>
        <v>3469.9915390395877</v>
      </c>
      <c r="BC44" s="276">
        <f t="shared" si="43"/>
        <v>5160.0592009994607</v>
      </c>
      <c r="BD44" s="276">
        <f t="shared" si="43"/>
        <v>7055.2865797711574</v>
      </c>
      <c r="BE44" s="276">
        <f t="shared" si="43"/>
        <v>2295.1606744886835</v>
      </c>
      <c r="BF44" s="276">
        <f t="shared" si="43"/>
        <v>1979.8745637386351</v>
      </c>
      <c r="BG44" s="276">
        <f t="shared" si="43"/>
        <v>1900.9990101398039</v>
      </c>
      <c r="BH44" s="276">
        <f t="shared" si="43"/>
        <v>2568.465374068754</v>
      </c>
      <c r="BI44" s="276">
        <f t="shared" si="43"/>
        <v>3497.7855428049152</v>
      </c>
      <c r="BJ44" s="276">
        <f t="shared" si="43"/>
        <v>3834.196233393428</v>
      </c>
      <c r="BK44" s="276">
        <f t="shared" si="43"/>
        <v>2874.0453574488924</v>
      </c>
      <c r="BL44" s="276">
        <f t="shared" si="43"/>
        <v>2656.4355626148945</v>
      </c>
      <c r="BM44" s="276">
        <f t="shared" si="43"/>
        <v>2469.0300411752651</v>
      </c>
      <c r="BN44" s="276">
        <f t="shared" si="43"/>
        <v>4322.1970350583197</v>
      </c>
      <c r="BO44" s="281">
        <f t="shared" si="43"/>
        <v>3957.8982339292606</v>
      </c>
      <c r="BP44" s="305">
        <f t="shared" ref="BP44:CD44" si="46">BP32/BP27</f>
        <v>5042.8853375220378</v>
      </c>
      <c r="BQ44" s="305">
        <f t="shared" si="46"/>
        <v>6736.3189612673714</v>
      </c>
      <c r="BR44" s="305">
        <f t="shared" si="46"/>
        <v>2444.2805417959948</v>
      </c>
      <c r="BS44" s="305">
        <f t="shared" si="46"/>
        <v>2004.4721802198928</v>
      </c>
      <c r="BT44" s="305">
        <f t="shared" si="46"/>
        <v>1824.8060655456418</v>
      </c>
      <c r="BU44" s="305">
        <f t="shared" si="46"/>
        <v>2154.5597662164596</v>
      </c>
      <c r="BV44" s="305">
        <f t="shared" si="46"/>
        <v>2666.1181384557794</v>
      </c>
      <c r="BW44" s="305">
        <f t="shared" si="46"/>
        <v>3659.0795427468429</v>
      </c>
      <c r="BX44" s="305">
        <f t="shared" si="46"/>
        <v>3409.083349567557</v>
      </c>
      <c r="BY44" s="305">
        <f t="shared" si="46"/>
        <v>2722.4695845554697</v>
      </c>
      <c r="BZ44" s="305">
        <f t="shared" si="46"/>
        <v>2807.1671425018008</v>
      </c>
      <c r="CA44" s="305">
        <f t="shared" si="46"/>
        <v>2725.8735921426037</v>
      </c>
      <c r="CB44" s="305">
        <f t="shared" si="46"/>
        <v>4769.8885104142237</v>
      </c>
      <c r="CC44" s="305">
        <f t="shared" si="46"/>
        <v>4302.8513059371498</v>
      </c>
      <c r="CD44" s="313">
        <f t="shared" si="46"/>
        <v>1959.5089595261438</v>
      </c>
    </row>
    <row r="45" spans="1:82" x14ac:dyDescent="0.3">
      <c r="A45" s="26">
        <v>39</v>
      </c>
      <c r="B45" s="28" t="s">
        <v>60</v>
      </c>
      <c r="C45" s="276">
        <f>C17/C27</f>
        <v>6862.5211436331301</v>
      </c>
      <c r="D45" s="276">
        <f t="shared" ref="D45:BO45" si="47">D17/D27</f>
        <v>5234.8514730112702</v>
      </c>
      <c r="E45" s="276">
        <f t="shared" si="47"/>
        <v>2719.4657721520298</v>
      </c>
      <c r="F45" s="276">
        <f t="shared" si="47"/>
        <v>2058.0129066953482</v>
      </c>
      <c r="G45" s="276">
        <f t="shared" ref="G45" si="48">G17/G27</f>
        <v>0</v>
      </c>
      <c r="H45" s="276">
        <f t="shared" si="47"/>
        <v>2649.5375457357991</v>
      </c>
      <c r="I45" s="276">
        <f t="shared" si="47"/>
        <v>3128.061099034172</v>
      </c>
      <c r="J45" s="276">
        <f t="shared" ref="J45" si="49">J17/J27</f>
        <v>0</v>
      </c>
      <c r="K45" s="276">
        <f t="shared" si="47"/>
        <v>3065.0733174325587</v>
      </c>
      <c r="L45" s="276">
        <f t="shared" si="47"/>
        <v>2788.682480245312</v>
      </c>
      <c r="M45" s="276">
        <f t="shared" si="47"/>
        <v>2988.392722758208</v>
      </c>
      <c r="N45" s="276">
        <f t="shared" si="47"/>
        <v>3918.4376646054607</v>
      </c>
      <c r="O45" s="281">
        <f t="shared" si="47"/>
        <v>4506.9180161708737</v>
      </c>
      <c r="P45" s="276">
        <f t="shared" si="47"/>
        <v>7071.2887975606136</v>
      </c>
      <c r="Q45" s="276">
        <f t="shared" si="47"/>
        <v>5571.5495018019928</v>
      </c>
      <c r="R45" s="276">
        <f t="shared" si="47"/>
        <v>2575.3643957292434</v>
      </c>
      <c r="S45" s="276">
        <f t="shared" si="47"/>
        <v>2086.1788563585542</v>
      </c>
      <c r="T45" s="276">
        <f t="shared" si="47"/>
        <v>2086.8143125934544</v>
      </c>
      <c r="U45" s="276">
        <f t="shared" si="47"/>
        <v>2607.0830919768009</v>
      </c>
      <c r="V45" s="276">
        <f t="shared" si="47"/>
        <v>3696.5821288956681</v>
      </c>
      <c r="W45" s="276">
        <f t="shared" si="47"/>
        <v>4843.4455179716306</v>
      </c>
      <c r="X45" s="276">
        <f t="shared" si="47"/>
        <v>3562.3877090347387</v>
      </c>
      <c r="Y45" s="276">
        <f t="shared" si="47"/>
        <v>2881.8621428176193</v>
      </c>
      <c r="Z45" s="276">
        <f t="shared" si="47"/>
        <v>3004.0816851280738</v>
      </c>
      <c r="AA45" s="276">
        <f t="shared" si="47"/>
        <v>4033.6129831906646</v>
      </c>
      <c r="AB45" s="281">
        <f t="shared" si="47"/>
        <v>4829.2386000785255</v>
      </c>
      <c r="AC45" s="276">
        <f t="shared" si="47"/>
        <v>7014.7656207820864</v>
      </c>
      <c r="AD45" s="276">
        <f t="shared" si="47"/>
        <v>5795.2498928820096</v>
      </c>
      <c r="AE45" s="276">
        <f t="shared" si="47"/>
        <v>2740.139571885381</v>
      </c>
      <c r="AF45" s="276">
        <f t="shared" si="47"/>
        <v>2003.902458416291</v>
      </c>
      <c r="AG45" s="276">
        <f t="shared" si="47"/>
        <v>2160.3061043300654</v>
      </c>
      <c r="AH45" s="276">
        <f t="shared" si="47"/>
        <v>2647.016002686978</v>
      </c>
      <c r="AI45" s="276">
        <f t="shared" si="47"/>
        <v>4110.4020491251331</v>
      </c>
      <c r="AJ45" s="276">
        <f t="shared" si="47"/>
        <v>4845.0424907759761</v>
      </c>
      <c r="AK45" s="276">
        <f t="shared" si="47"/>
        <v>3409.160017320281</v>
      </c>
      <c r="AL45" s="276">
        <f t="shared" si="47"/>
        <v>2953.2481843525675</v>
      </c>
      <c r="AM45" s="276">
        <f t="shared" si="47"/>
        <v>2940.1434037297022</v>
      </c>
      <c r="AN45" s="276">
        <f t="shared" si="47"/>
        <v>4180.0366598015353</v>
      </c>
      <c r="AO45" s="281">
        <f t="shared" si="47"/>
        <v>4727.2195078778122</v>
      </c>
      <c r="AP45" s="276">
        <f t="shared" si="47"/>
        <v>8062.5593717065849</v>
      </c>
      <c r="AQ45" s="276">
        <f t="shared" si="47"/>
        <v>7330.3742260114122</v>
      </c>
      <c r="AR45" s="276">
        <f t="shared" si="47"/>
        <v>2865.5164766785865</v>
      </c>
      <c r="AS45" s="276">
        <f t="shared" si="47"/>
        <v>2323.1852576176193</v>
      </c>
      <c r="AT45" s="276">
        <f t="shared" si="47"/>
        <v>2264.1709553927872</v>
      </c>
      <c r="AU45" s="276">
        <f t="shared" si="47"/>
        <v>2932.2465344866523</v>
      </c>
      <c r="AV45" s="276">
        <f t="shared" si="47"/>
        <v>4318.1852358083725</v>
      </c>
      <c r="AW45" s="276">
        <f t="shared" si="47"/>
        <v>4970.2125973815364</v>
      </c>
      <c r="AX45" s="276">
        <f t="shared" si="47"/>
        <v>3759.4465706735059</v>
      </c>
      <c r="AY45" s="276">
        <f t="shared" si="47"/>
        <v>3074.4469842575868</v>
      </c>
      <c r="AZ45" s="276">
        <f t="shared" si="47"/>
        <v>3208.440740573561</v>
      </c>
      <c r="BA45" s="276">
        <f t="shared" si="47"/>
        <v>4553.1322078354633</v>
      </c>
      <c r="BB45" s="281">
        <f t="shared" si="47"/>
        <v>5117.2855064753139</v>
      </c>
      <c r="BC45" s="276">
        <f t="shared" si="47"/>
        <v>8685.5092421704194</v>
      </c>
      <c r="BD45" s="276">
        <f t="shared" si="47"/>
        <v>7223.9502239853191</v>
      </c>
      <c r="BE45" s="276">
        <f t="shared" si="47"/>
        <v>3069.4105866512791</v>
      </c>
      <c r="BF45" s="276">
        <f t="shared" si="47"/>
        <v>2613.201535769389</v>
      </c>
      <c r="BG45" s="276">
        <f t="shared" si="47"/>
        <v>2470.9937791036209</v>
      </c>
      <c r="BH45" s="276">
        <f t="shared" si="47"/>
        <v>3219.7532794319532</v>
      </c>
      <c r="BI45" s="276">
        <f t="shared" si="47"/>
        <v>4677.5318269523714</v>
      </c>
      <c r="BJ45" s="276">
        <f t="shared" si="47"/>
        <v>5511.919346027963</v>
      </c>
      <c r="BK45" s="276">
        <f t="shared" si="47"/>
        <v>4194.1702029385333</v>
      </c>
      <c r="BL45" s="276">
        <f t="shared" si="47"/>
        <v>3341.2426696957136</v>
      </c>
      <c r="BM45" s="276">
        <f t="shared" si="47"/>
        <v>3457.6094162800664</v>
      </c>
      <c r="BN45" s="276">
        <f t="shared" si="47"/>
        <v>5315.6742131373294</v>
      </c>
      <c r="BO45" s="281">
        <f t="shared" si="47"/>
        <v>5936.1327592945918</v>
      </c>
      <c r="BP45" s="305">
        <f t="shared" ref="BP45:CD45" si="50">BP17/BP27</f>
        <v>8861.7347263280826</v>
      </c>
      <c r="BQ45" s="305">
        <f t="shared" si="50"/>
        <v>7610.7088457490045</v>
      </c>
      <c r="BR45" s="305">
        <f t="shared" si="50"/>
        <v>3314.8333182745864</v>
      </c>
      <c r="BS45" s="305">
        <f t="shared" si="50"/>
        <v>2639.0989005356364</v>
      </c>
      <c r="BT45" s="305">
        <f t="shared" si="50"/>
        <v>2547.2631418855681</v>
      </c>
      <c r="BU45" s="305">
        <f t="shared" si="50"/>
        <v>2695.4515649969226</v>
      </c>
      <c r="BV45" s="305">
        <f t="shared" si="50"/>
        <v>3395.8045356331468</v>
      </c>
      <c r="BW45" s="305">
        <f t="shared" si="50"/>
        <v>4766.0832871127732</v>
      </c>
      <c r="BX45" s="305">
        <f t="shared" si="50"/>
        <v>5111.1751177262668</v>
      </c>
      <c r="BY45" s="305">
        <f t="shared" si="50"/>
        <v>4425.9503557259877</v>
      </c>
      <c r="BZ45" s="305">
        <f t="shared" si="50"/>
        <v>3500.3778017393902</v>
      </c>
      <c r="CA45" s="305">
        <f t="shared" si="50"/>
        <v>3737.1801650999173</v>
      </c>
      <c r="CB45" s="305">
        <f t="shared" si="50"/>
        <v>5356.0374772195273</v>
      </c>
      <c r="CC45" s="305">
        <f t="shared" si="50"/>
        <v>6348.7566181239317</v>
      </c>
      <c r="CD45" s="312">
        <f t="shared" si="50"/>
        <v>2607.7974419006978</v>
      </c>
    </row>
    <row r="46" spans="1:82" x14ac:dyDescent="0.3">
      <c r="A46" s="26">
        <v>40</v>
      </c>
      <c r="B46" s="28" t="s">
        <v>61</v>
      </c>
      <c r="C46" s="276">
        <f>C7/C27</f>
        <v>1768.4929447704676</v>
      </c>
      <c r="D46" s="276">
        <f t="shared" ref="D46:BO46" si="51">D7/D27</f>
        <v>650.17258287747973</v>
      </c>
      <c r="E46" s="276">
        <f t="shared" si="51"/>
        <v>469.52462714917391</v>
      </c>
      <c r="F46" s="276">
        <f t="shared" si="51"/>
        <v>231.79394662543694</v>
      </c>
      <c r="G46" s="276">
        <f t="shared" ref="G46" si="52">G7/G27</f>
        <v>392.37634355648964</v>
      </c>
      <c r="H46" s="276">
        <f t="shared" si="51"/>
        <v>510.98863788548744</v>
      </c>
      <c r="I46" s="276">
        <f t="shared" si="51"/>
        <v>355.49037115214003</v>
      </c>
      <c r="J46" s="276">
        <f t="shared" ref="J46" si="53">J7/J27</f>
        <v>0</v>
      </c>
      <c r="K46" s="276">
        <f t="shared" si="51"/>
        <v>1044.6835785223066</v>
      </c>
      <c r="L46" s="276">
        <f t="shared" si="51"/>
        <v>581.20097037124401</v>
      </c>
      <c r="M46" s="276">
        <f t="shared" si="51"/>
        <v>234.80353398861158</v>
      </c>
      <c r="N46" s="276">
        <f t="shared" si="51"/>
        <v>421.38794502537132</v>
      </c>
      <c r="O46" s="281">
        <f t="shared" si="51"/>
        <v>1085.4716390952262</v>
      </c>
      <c r="P46" s="276">
        <f t="shared" si="51"/>
        <v>966.01713546861185</v>
      </c>
      <c r="Q46" s="276">
        <f t="shared" si="51"/>
        <v>475.87677549289805</v>
      </c>
      <c r="R46" s="276">
        <f t="shared" si="51"/>
        <v>211.42731838310289</v>
      </c>
      <c r="S46" s="276">
        <f t="shared" si="51"/>
        <v>191.91858993411188</v>
      </c>
      <c r="T46" s="276">
        <f t="shared" si="51"/>
        <v>278.10301195051926</v>
      </c>
      <c r="U46" s="276">
        <f t="shared" si="51"/>
        <v>451.97775527536419</v>
      </c>
      <c r="V46" s="276">
        <f t="shared" si="51"/>
        <v>338.97622381702547</v>
      </c>
      <c r="W46" s="276">
        <f t="shared" si="51"/>
        <v>658.8209058160561</v>
      </c>
      <c r="X46" s="276">
        <f t="shared" si="51"/>
        <v>722.33678744213228</v>
      </c>
      <c r="Y46" s="276">
        <f t="shared" si="51"/>
        <v>441.19523420488167</v>
      </c>
      <c r="Z46" s="276">
        <f t="shared" si="51"/>
        <v>162.09855952452691</v>
      </c>
      <c r="AA46" s="276">
        <f t="shared" si="51"/>
        <v>311.61388272845983</v>
      </c>
      <c r="AB46" s="281">
        <f t="shared" si="51"/>
        <v>878.73405465952487</v>
      </c>
      <c r="AC46" s="276">
        <f t="shared" si="51"/>
        <v>1019.866457615734</v>
      </c>
      <c r="AD46" s="276">
        <f t="shared" si="51"/>
        <v>404.57159498687804</v>
      </c>
      <c r="AE46" s="276">
        <f t="shared" si="51"/>
        <v>235.2681692589488</v>
      </c>
      <c r="AF46" s="276">
        <f t="shared" si="51"/>
        <v>182.76845302970574</v>
      </c>
      <c r="AG46" s="276">
        <f t="shared" si="51"/>
        <v>265.79404193589676</v>
      </c>
      <c r="AH46" s="276">
        <f t="shared" si="51"/>
        <v>452.75562947152491</v>
      </c>
      <c r="AI46" s="276">
        <f t="shared" si="51"/>
        <v>328.02539962083932</v>
      </c>
      <c r="AJ46" s="276">
        <f t="shared" si="51"/>
        <v>764.38976489501749</v>
      </c>
      <c r="AK46" s="276">
        <f t="shared" si="51"/>
        <v>821.13510373697773</v>
      </c>
      <c r="AL46" s="276">
        <f t="shared" si="51"/>
        <v>450.99073315568103</v>
      </c>
      <c r="AM46" s="276">
        <f t="shared" si="51"/>
        <v>154.93663052007884</v>
      </c>
      <c r="AN46" s="276">
        <f t="shared" si="51"/>
        <v>319.64451101541533</v>
      </c>
      <c r="AO46" s="281">
        <f t="shared" si="51"/>
        <v>915.3313331422703</v>
      </c>
      <c r="AP46" s="276">
        <f t="shared" si="51"/>
        <v>1026.4628177920222</v>
      </c>
      <c r="AQ46" s="276">
        <f t="shared" si="51"/>
        <v>442.68133928691873</v>
      </c>
      <c r="AR46" s="276">
        <f t="shared" si="51"/>
        <v>271.74214895237606</v>
      </c>
      <c r="AS46" s="276">
        <f t="shared" si="51"/>
        <v>219.70078817669332</v>
      </c>
      <c r="AT46" s="276">
        <f t="shared" si="51"/>
        <v>337.31143722695089</v>
      </c>
      <c r="AU46" s="276">
        <f t="shared" si="51"/>
        <v>499.84046629839798</v>
      </c>
      <c r="AV46" s="276">
        <f t="shared" si="51"/>
        <v>397.9608354930146</v>
      </c>
      <c r="AW46" s="276">
        <f t="shared" si="51"/>
        <v>895.37506939116656</v>
      </c>
      <c r="AX46" s="276">
        <f t="shared" si="51"/>
        <v>747.29697500748898</v>
      </c>
      <c r="AY46" s="276">
        <f t="shared" si="51"/>
        <v>556.18615741127621</v>
      </c>
      <c r="AZ46" s="276">
        <f t="shared" si="51"/>
        <v>184.24281001361908</v>
      </c>
      <c r="BA46" s="276">
        <f t="shared" si="51"/>
        <v>341.53499313043841</v>
      </c>
      <c r="BB46" s="281">
        <f t="shared" si="51"/>
        <v>928.92046871550713</v>
      </c>
      <c r="BC46" s="276">
        <f t="shared" si="51"/>
        <v>1108.5791998238842</v>
      </c>
      <c r="BD46" s="276">
        <f t="shared" si="51"/>
        <v>480.37153227547498</v>
      </c>
      <c r="BE46" s="276">
        <f t="shared" si="51"/>
        <v>294.02224786817976</v>
      </c>
      <c r="BF46" s="276">
        <f t="shared" si="51"/>
        <v>225.3367274656247</v>
      </c>
      <c r="BG46" s="276">
        <f t="shared" si="51"/>
        <v>376.54008590052229</v>
      </c>
      <c r="BH46" s="276">
        <f t="shared" si="51"/>
        <v>487.08535522326957</v>
      </c>
      <c r="BI46" s="276">
        <f t="shared" si="51"/>
        <v>429.56307301716259</v>
      </c>
      <c r="BJ46" s="276">
        <f t="shared" si="51"/>
        <v>1031.7683583382982</v>
      </c>
      <c r="BK46" s="276">
        <f t="shared" si="51"/>
        <v>1138.2985359395573</v>
      </c>
      <c r="BL46" s="276">
        <f t="shared" si="51"/>
        <v>600.58407013425051</v>
      </c>
      <c r="BM46" s="276">
        <f t="shared" si="51"/>
        <v>235.49914109515026</v>
      </c>
      <c r="BN46" s="276">
        <f t="shared" si="51"/>
        <v>388.79512949843206</v>
      </c>
      <c r="BO46" s="281">
        <f t="shared" si="51"/>
        <v>1012.7311631222526</v>
      </c>
      <c r="BP46" s="305">
        <f t="shared" ref="BP46:CD46" si="54">BP7/BP27</f>
        <v>1125.40882373009</v>
      </c>
      <c r="BQ46" s="305">
        <f t="shared" si="54"/>
        <v>498.50400383728834</v>
      </c>
      <c r="BR46" s="305">
        <f t="shared" si="54"/>
        <v>316.928366427144</v>
      </c>
      <c r="BS46" s="305">
        <f t="shared" si="54"/>
        <v>217.45311258617596</v>
      </c>
      <c r="BT46" s="305">
        <f t="shared" si="54"/>
        <v>278.64022430897859</v>
      </c>
      <c r="BU46" s="305">
        <f t="shared" si="54"/>
        <v>625.66443620018856</v>
      </c>
      <c r="BV46" s="305">
        <f t="shared" si="54"/>
        <v>519.79751981884147</v>
      </c>
      <c r="BW46" s="305">
        <f t="shared" si="54"/>
        <v>428.88868620811866</v>
      </c>
      <c r="BX46" s="305">
        <f t="shared" si="54"/>
        <v>1024.0418532809049</v>
      </c>
      <c r="BY46" s="305">
        <f t="shared" si="54"/>
        <v>1193.6107805375295</v>
      </c>
      <c r="BZ46" s="305">
        <f t="shared" si="54"/>
        <v>590.73775792559013</v>
      </c>
      <c r="CA46" s="305">
        <f t="shared" si="54"/>
        <v>221.61391820385481</v>
      </c>
      <c r="CB46" s="305">
        <f t="shared" si="54"/>
        <v>394.24693826337722</v>
      </c>
      <c r="CC46" s="305">
        <f t="shared" si="54"/>
        <v>1003.1305288603266</v>
      </c>
      <c r="CD46" s="313">
        <f t="shared" si="54"/>
        <v>420.3980439421025</v>
      </c>
    </row>
  </sheetData>
  <mergeCells count="8">
    <mergeCell ref="BP2:CC2"/>
    <mergeCell ref="BC2:BO2"/>
    <mergeCell ref="A2:A3"/>
    <mergeCell ref="B2:B3"/>
    <mergeCell ref="C2:O2"/>
    <mergeCell ref="P2:AB2"/>
    <mergeCell ref="AC2:AO2"/>
    <mergeCell ref="AP2:BB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72C23-90A7-419D-A216-427EF24EAC02}">
  <sheetPr>
    <tabColor theme="8" tint="-0.249977111117893"/>
  </sheetPr>
  <dimension ref="A1:CC78"/>
  <sheetViews>
    <sheetView workbookViewId="0">
      <pane xSplit="2" ySplit="3" topLeftCell="BG39" activePane="bottomRight" state="frozen"/>
      <selection activeCell="C45" sqref="C45"/>
      <selection pane="topRight" activeCell="C45" sqref="C45"/>
      <selection pane="bottomLeft" activeCell="C45" sqref="C45"/>
      <selection pane="bottomRight" activeCell="BP71" sqref="BP71:CC71"/>
    </sheetView>
  </sheetViews>
  <sheetFormatPr baseColWidth="10" defaultColWidth="11.3984375" defaultRowHeight="12" x14ac:dyDescent="0.3"/>
  <cols>
    <col min="1" max="1" width="2.8984375" style="96" bestFit="1" customWidth="1"/>
    <col min="2" max="2" width="31" style="228" bestFit="1" customWidth="1"/>
    <col min="3" max="3" width="11.3984375" style="96" bestFit="1" customWidth="1"/>
    <col min="4" max="4" width="10" style="96" bestFit="1" customWidth="1"/>
    <col min="5" max="5" width="11.3984375" style="96" bestFit="1" customWidth="1"/>
    <col min="6" max="6" width="13.09765625" style="96" bestFit="1" customWidth="1"/>
    <col min="7" max="7" width="11.3984375" style="96" bestFit="1" customWidth="1"/>
    <col min="8" max="8" width="13.09765625" style="96" bestFit="1" customWidth="1"/>
    <col min="9" max="9" width="10" style="96" bestFit="1" customWidth="1"/>
    <col min="10" max="10" width="13.5" style="96" customWidth="1"/>
    <col min="11" max="11" width="11.3984375" style="230" bestFit="1" customWidth="1"/>
    <col min="12" max="13" width="11.3984375" style="96" bestFit="1" customWidth="1"/>
    <col min="14" max="14" width="10.8984375" style="96" bestFit="1" customWidth="1"/>
    <col min="15" max="15" width="13.59765625" style="96" bestFit="1" customWidth="1"/>
    <col min="16" max="16" width="11.3984375" style="96" bestFit="1" customWidth="1"/>
    <col min="17" max="18" width="10" style="96" bestFit="1" customWidth="1"/>
    <col min="19" max="19" width="13.09765625" style="96" bestFit="1" customWidth="1"/>
    <col min="20" max="20" width="11.3984375" style="96" bestFit="1" customWidth="1"/>
    <col min="21" max="21" width="13.09765625" style="96" bestFit="1" customWidth="1"/>
    <col min="22" max="26" width="11.3984375" style="96" bestFit="1" customWidth="1"/>
    <col min="27" max="28" width="10" style="96" bestFit="1" customWidth="1"/>
    <col min="29" max="29" width="11.3984375" style="96" bestFit="1" customWidth="1"/>
    <col min="30" max="30" width="10" style="96" bestFit="1" customWidth="1"/>
    <col min="31" max="31" width="11.3984375" style="96" bestFit="1" customWidth="1"/>
    <col min="32" max="32" width="13.09765625" style="96" bestFit="1" customWidth="1"/>
    <col min="33" max="33" width="11.3984375" style="96" bestFit="1" customWidth="1"/>
    <col min="34" max="34" width="13.09765625" style="96" bestFit="1" customWidth="1"/>
    <col min="35" max="39" width="11.3984375" style="96" bestFit="1" customWidth="1"/>
    <col min="40" max="41" width="10" style="96" bestFit="1" customWidth="1"/>
    <col min="42" max="42" width="11.3984375" style="96" bestFit="1" customWidth="1"/>
    <col min="43" max="43" width="10" style="96" bestFit="1" customWidth="1"/>
    <col min="44" max="44" width="11.3984375" style="96" bestFit="1" customWidth="1"/>
    <col min="45" max="45" width="13.09765625" style="96" bestFit="1" customWidth="1"/>
    <col min="46" max="46" width="11.3984375" style="96" bestFit="1" customWidth="1"/>
    <col min="47" max="47" width="13.09765625" style="96" bestFit="1" customWidth="1"/>
    <col min="48" max="52" width="11.3984375" style="96" bestFit="1" customWidth="1"/>
    <col min="53" max="54" width="10" style="96" bestFit="1" customWidth="1"/>
    <col min="55" max="55" width="11.3984375" style="96" bestFit="1" customWidth="1"/>
    <col min="56" max="56" width="10" style="96" bestFit="1" customWidth="1"/>
    <col min="57" max="57" width="11.3984375" style="96" bestFit="1" customWidth="1"/>
    <col min="58" max="58" width="13.09765625" style="96" bestFit="1" customWidth="1"/>
    <col min="59" max="59" width="11.3984375" style="96" bestFit="1" customWidth="1"/>
    <col min="60" max="60" width="13.09765625" style="96" bestFit="1" customWidth="1"/>
    <col min="61" max="65" width="11.3984375" style="96" bestFit="1" customWidth="1"/>
    <col min="66" max="67" width="10" style="96" bestFit="1" customWidth="1"/>
    <col min="68" max="72" width="11.3984375" style="96"/>
    <col min="73" max="73" width="14.09765625" style="96" customWidth="1"/>
    <col min="74" max="16384" width="11.3984375" style="96"/>
  </cols>
  <sheetData>
    <row r="1" spans="1:81" x14ac:dyDescent="0.3">
      <c r="A1" s="360"/>
      <c r="B1" s="21"/>
      <c r="C1" s="360"/>
      <c r="D1" s="360"/>
      <c r="E1" s="360"/>
      <c r="F1" s="360"/>
      <c r="G1" s="360"/>
      <c r="H1" s="360"/>
      <c r="I1" s="360"/>
      <c r="J1" s="360"/>
      <c r="K1" s="361"/>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60"/>
      <c r="AQ1" s="360"/>
      <c r="AR1" s="360"/>
      <c r="AS1" s="360"/>
      <c r="AT1" s="360"/>
      <c r="AU1" s="360"/>
      <c r="AV1" s="360"/>
      <c r="AW1" s="360"/>
      <c r="AX1" s="360"/>
      <c r="AY1" s="360"/>
      <c r="AZ1" s="360"/>
      <c r="BA1" s="360"/>
      <c r="BB1" s="360"/>
      <c r="BC1" s="360"/>
      <c r="BD1" s="360"/>
      <c r="BE1" s="360"/>
      <c r="BF1" s="360"/>
      <c r="BG1" s="360"/>
      <c r="BH1" s="360"/>
      <c r="BI1" s="360"/>
      <c r="BJ1" s="360"/>
      <c r="BK1" s="360"/>
      <c r="BL1" s="360"/>
      <c r="BM1" s="360"/>
      <c r="BN1" s="360"/>
      <c r="BO1" s="360"/>
      <c r="BP1" s="1"/>
      <c r="BQ1" s="1"/>
      <c r="BR1" s="1"/>
      <c r="BS1" s="1"/>
      <c r="BT1" s="1"/>
      <c r="BU1" s="1"/>
      <c r="BV1" s="1"/>
      <c r="BW1" s="1"/>
      <c r="BX1" s="1"/>
      <c r="BY1" s="1"/>
      <c r="BZ1" s="1"/>
      <c r="CA1" s="1"/>
      <c r="CB1" s="1"/>
      <c r="CC1" s="1"/>
    </row>
    <row r="2" spans="1:81" ht="15" customHeight="1" x14ac:dyDescent="0.3">
      <c r="A2" s="328" t="s">
        <v>0</v>
      </c>
      <c r="B2" s="330" t="s">
        <v>1</v>
      </c>
      <c r="C2" s="362">
        <v>2019</v>
      </c>
      <c r="D2" s="362"/>
      <c r="E2" s="362"/>
      <c r="F2" s="362"/>
      <c r="G2" s="362"/>
      <c r="H2" s="362"/>
      <c r="I2" s="362"/>
      <c r="J2" s="362"/>
      <c r="K2" s="362"/>
      <c r="L2" s="362"/>
      <c r="M2" s="362"/>
      <c r="N2" s="362"/>
      <c r="O2" s="363"/>
      <c r="P2" s="364">
        <v>2020</v>
      </c>
      <c r="Q2" s="362"/>
      <c r="R2" s="362"/>
      <c r="S2" s="362"/>
      <c r="T2" s="362"/>
      <c r="U2" s="362"/>
      <c r="V2" s="362"/>
      <c r="W2" s="362"/>
      <c r="X2" s="362"/>
      <c r="Y2" s="362"/>
      <c r="Z2" s="362"/>
      <c r="AA2" s="362"/>
      <c r="AB2" s="363"/>
      <c r="AC2" s="364">
        <v>2021</v>
      </c>
      <c r="AD2" s="362"/>
      <c r="AE2" s="362"/>
      <c r="AF2" s="362"/>
      <c r="AG2" s="362"/>
      <c r="AH2" s="362"/>
      <c r="AI2" s="362"/>
      <c r="AJ2" s="362"/>
      <c r="AK2" s="362"/>
      <c r="AL2" s="362"/>
      <c r="AM2" s="362"/>
      <c r="AN2" s="362"/>
      <c r="AO2" s="363"/>
      <c r="AP2" s="364">
        <v>2022</v>
      </c>
      <c r="AQ2" s="362"/>
      <c r="AR2" s="362"/>
      <c r="AS2" s="362"/>
      <c r="AT2" s="362"/>
      <c r="AU2" s="362"/>
      <c r="AV2" s="362"/>
      <c r="AW2" s="362"/>
      <c r="AX2" s="362"/>
      <c r="AY2" s="362"/>
      <c r="AZ2" s="362"/>
      <c r="BA2" s="362"/>
      <c r="BB2" s="363"/>
      <c r="BC2" s="362">
        <v>2023</v>
      </c>
      <c r="BD2" s="362"/>
      <c r="BE2" s="362"/>
      <c r="BF2" s="362"/>
      <c r="BG2" s="362"/>
      <c r="BH2" s="362"/>
      <c r="BI2" s="362"/>
      <c r="BJ2" s="362"/>
      <c r="BK2" s="362"/>
      <c r="BL2" s="362"/>
      <c r="BM2" s="362"/>
      <c r="BN2" s="362"/>
      <c r="BO2" s="362"/>
      <c r="BP2" s="364">
        <v>2024</v>
      </c>
      <c r="BQ2" s="362"/>
      <c r="BR2" s="362"/>
      <c r="BS2" s="362"/>
      <c r="BT2" s="362"/>
      <c r="BU2" s="362"/>
      <c r="BV2" s="362"/>
      <c r="BW2" s="362"/>
      <c r="BX2" s="362"/>
      <c r="BY2" s="362"/>
      <c r="BZ2" s="362"/>
      <c r="CA2" s="362"/>
      <c r="CB2" s="362"/>
      <c r="CC2" s="365"/>
    </row>
    <row r="3" spans="1:81" s="229" customFormat="1" ht="24.75" customHeight="1" thickBot="1" x14ac:dyDescent="0.35">
      <c r="A3" s="329"/>
      <c r="B3" s="331"/>
      <c r="C3" s="366" t="s">
        <v>199</v>
      </c>
      <c r="D3" s="366" t="s">
        <v>3</v>
      </c>
      <c r="E3" s="366" t="s">
        <v>4</v>
      </c>
      <c r="F3" s="366" t="s">
        <v>194</v>
      </c>
      <c r="G3" s="366" t="s">
        <v>5</v>
      </c>
      <c r="H3" s="366" t="s">
        <v>6</v>
      </c>
      <c r="I3" s="366" t="s">
        <v>216</v>
      </c>
      <c r="J3" s="366" t="s">
        <v>197</v>
      </c>
      <c r="K3" s="367" t="s">
        <v>198</v>
      </c>
      <c r="L3" s="366" t="s">
        <v>7</v>
      </c>
      <c r="M3" s="366" t="s">
        <v>214</v>
      </c>
      <c r="N3" s="366" t="s">
        <v>94</v>
      </c>
      <c r="O3" s="368" t="s">
        <v>8</v>
      </c>
      <c r="P3" s="366" t="s">
        <v>199</v>
      </c>
      <c r="Q3" s="366" t="s">
        <v>3</v>
      </c>
      <c r="R3" s="366" t="s">
        <v>4</v>
      </c>
      <c r="S3" s="366" t="s">
        <v>194</v>
      </c>
      <c r="T3" s="366" t="s">
        <v>5</v>
      </c>
      <c r="U3" s="366" t="s">
        <v>6</v>
      </c>
      <c r="V3" s="366" t="s">
        <v>216</v>
      </c>
      <c r="W3" s="366" t="s">
        <v>197</v>
      </c>
      <c r="X3" s="367" t="s">
        <v>198</v>
      </c>
      <c r="Y3" s="366" t="s">
        <v>7</v>
      </c>
      <c r="Z3" s="366" t="s">
        <v>214</v>
      </c>
      <c r="AA3" s="366" t="s">
        <v>94</v>
      </c>
      <c r="AB3" s="368" t="s">
        <v>8</v>
      </c>
      <c r="AC3" s="366" t="s">
        <v>199</v>
      </c>
      <c r="AD3" s="366" t="s">
        <v>3</v>
      </c>
      <c r="AE3" s="366" t="s">
        <v>4</v>
      </c>
      <c r="AF3" s="366" t="s">
        <v>194</v>
      </c>
      <c r="AG3" s="366" t="s">
        <v>5</v>
      </c>
      <c r="AH3" s="366" t="s">
        <v>6</v>
      </c>
      <c r="AI3" s="366" t="s">
        <v>216</v>
      </c>
      <c r="AJ3" s="366" t="s">
        <v>197</v>
      </c>
      <c r="AK3" s="367" t="s">
        <v>198</v>
      </c>
      <c r="AL3" s="366" t="s">
        <v>7</v>
      </c>
      <c r="AM3" s="366" t="s">
        <v>214</v>
      </c>
      <c r="AN3" s="366" t="s">
        <v>94</v>
      </c>
      <c r="AO3" s="368" t="s">
        <v>8</v>
      </c>
      <c r="AP3" s="366" t="s">
        <v>199</v>
      </c>
      <c r="AQ3" s="366" t="s">
        <v>3</v>
      </c>
      <c r="AR3" s="366" t="s">
        <v>4</v>
      </c>
      <c r="AS3" s="366" t="s">
        <v>194</v>
      </c>
      <c r="AT3" s="366" t="s">
        <v>5</v>
      </c>
      <c r="AU3" s="366" t="s">
        <v>6</v>
      </c>
      <c r="AV3" s="366" t="s">
        <v>216</v>
      </c>
      <c r="AW3" s="366" t="s">
        <v>197</v>
      </c>
      <c r="AX3" s="367" t="s">
        <v>198</v>
      </c>
      <c r="AY3" s="366" t="s">
        <v>7</v>
      </c>
      <c r="AZ3" s="366" t="s">
        <v>214</v>
      </c>
      <c r="BA3" s="366" t="s">
        <v>94</v>
      </c>
      <c r="BB3" s="368" t="s">
        <v>8</v>
      </c>
      <c r="BC3" s="366" t="s">
        <v>199</v>
      </c>
      <c r="BD3" s="366" t="s">
        <v>3</v>
      </c>
      <c r="BE3" s="366" t="s">
        <v>4</v>
      </c>
      <c r="BF3" s="366" t="s">
        <v>194</v>
      </c>
      <c r="BG3" s="366" t="s">
        <v>5</v>
      </c>
      <c r="BH3" s="366" t="s">
        <v>6</v>
      </c>
      <c r="BI3" s="366" t="s">
        <v>216</v>
      </c>
      <c r="BJ3" s="366" t="s">
        <v>197</v>
      </c>
      <c r="BK3" s="367" t="s">
        <v>198</v>
      </c>
      <c r="BL3" s="366" t="s">
        <v>7</v>
      </c>
      <c r="BM3" s="366" t="s">
        <v>214</v>
      </c>
      <c r="BN3" s="366" t="s">
        <v>94</v>
      </c>
      <c r="BO3" s="366" t="s">
        <v>8</v>
      </c>
      <c r="BP3" s="366" t="s">
        <v>199</v>
      </c>
      <c r="BQ3" s="366" t="s">
        <v>3</v>
      </c>
      <c r="BR3" s="366" t="s">
        <v>4</v>
      </c>
      <c r="BS3" s="366" t="s">
        <v>194</v>
      </c>
      <c r="BT3" s="366" t="s">
        <v>213</v>
      </c>
      <c r="BU3" s="366" t="s">
        <v>6</v>
      </c>
      <c r="BV3" s="366" t="s">
        <v>216</v>
      </c>
      <c r="BW3" s="366" t="s">
        <v>197</v>
      </c>
      <c r="BX3" s="367" t="s">
        <v>198</v>
      </c>
      <c r="BY3" s="366" t="s">
        <v>7</v>
      </c>
      <c r="BZ3" s="366" t="s">
        <v>214</v>
      </c>
      <c r="CA3" s="366" t="s">
        <v>94</v>
      </c>
      <c r="CB3" s="370" t="s">
        <v>8</v>
      </c>
      <c r="CC3" s="371" t="s">
        <v>212</v>
      </c>
    </row>
    <row r="4" spans="1:81" x14ac:dyDescent="0.3">
      <c r="A4" s="2">
        <v>1</v>
      </c>
      <c r="B4" s="3" t="s">
        <v>9</v>
      </c>
      <c r="C4" s="4">
        <v>72389638.025256202</v>
      </c>
      <c r="D4" s="372">
        <v>4851744</v>
      </c>
      <c r="E4" s="372">
        <v>21652674</v>
      </c>
      <c r="F4" s="372">
        <v>11962948</v>
      </c>
      <c r="G4" s="372">
        <v>20271447</v>
      </c>
      <c r="H4" s="372">
        <v>13231957</v>
      </c>
      <c r="I4" s="372">
        <v>20480585</v>
      </c>
      <c r="J4" s="372"/>
      <c r="K4" s="34">
        <v>27139473.616556801</v>
      </c>
      <c r="L4" s="372">
        <v>18637019</v>
      </c>
      <c r="M4" s="372">
        <v>18000000</v>
      </c>
      <c r="N4" s="372">
        <v>14424903</v>
      </c>
      <c r="O4" s="373">
        <v>12623017</v>
      </c>
      <c r="P4" s="18">
        <v>73795435.965913951</v>
      </c>
      <c r="Q4" s="372">
        <v>4586164</v>
      </c>
      <c r="R4" s="372">
        <v>19624375</v>
      </c>
      <c r="S4" s="372">
        <v>11702983</v>
      </c>
      <c r="T4" s="372">
        <v>19547359</v>
      </c>
      <c r="U4" s="372">
        <v>12996274</v>
      </c>
      <c r="V4" s="372">
        <v>21714769</v>
      </c>
      <c r="W4" s="372">
        <v>43760994</v>
      </c>
      <c r="X4" s="372">
        <v>28501175.240000002</v>
      </c>
      <c r="Y4" s="372">
        <v>18915288</v>
      </c>
      <c r="Z4" s="372">
        <v>17892520</v>
      </c>
      <c r="AA4" s="372">
        <v>13852287</v>
      </c>
      <c r="AB4" s="373">
        <v>12932858</v>
      </c>
      <c r="AC4" s="18">
        <v>78374372.22460033</v>
      </c>
      <c r="AD4" s="372">
        <v>4750279</v>
      </c>
      <c r="AE4" s="372">
        <v>20960528</v>
      </c>
      <c r="AF4" s="372">
        <v>10280950</v>
      </c>
      <c r="AG4" s="372">
        <v>19598180</v>
      </c>
      <c r="AH4" s="372">
        <v>12680898</v>
      </c>
      <c r="AI4" s="372">
        <v>22905933</v>
      </c>
      <c r="AJ4" s="372">
        <v>39587285</v>
      </c>
      <c r="AK4" s="372">
        <v>29564629.908600003</v>
      </c>
      <c r="AL4" s="372">
        <v>19606203</v>
      </c>
      <c r="AM4" s="372">
        <v>17884249</v>
      </c>
      <c r="AN4" s="372">
        <v>12680597</v>
      </c>
      <c r="AO4" s="373">
        <v>13140409</v>
      </c>
      <c r="AP4" s="18">
        <v>78000000</v>
      </c>
      <c r="AQ4" s="372">
        <v>4746484</v>
      </c>
      <c r="AR4" s="372">
        <v>21129827</v>
      </c>
      <c r="AS4" s="372">
        <v>10477909</v>
      </c>
      <c r="AT4" s="372">
        <v>19513125</v>
      </c>
      <c r="AU4" s="372">
        <v>12540464</v>
      </c>
      <c r="AV4" s="372">
        <v>22565984</v>
      </c>
      <c r="AW4" s="372">
        <v>45616689</v>
      </c>
      <c r="AX4" s="372">
        <v>29312321</v>
      </c>
      <c r="AY4" s="372">
        <v>18959546</v>
      </c>
      <c r="AZ4" s="372">
        <v>17233306</v>
      </c>
      <c r="BA4" s="372">
        <v>12932967</v>
      </c>
      <c r="BB4" s="373">
        <v>12587528</v>
      </c>
      <c r="BC4" s="4">
        <v>77729466.744973943</v>
      </c>
      <c r="BD4" s="372">
        <v>4604834</v>
      </c>
      <c r="BE4" s="372">
        <v>21915452</v>
      </c>
      <c r="BF4" s="372">
        <v>10550432</v>
      </c>
      <c r="BG4" s="372">
        <v>19605285</v>
      </c>
      <c r="BH4" s="372">
        <v>12320279</v>
      </c>
      <c r="BI4" s="372">
        <v>23304076</v>
      </c>
      <c r="BJ4" s="372">
        <v>46346450</v>
      </c>
      <c r="BK4" s="372">
        <v>29630903.190000005</v>
      </c>
      <c r="BL4" s="372">
        <v>19164070</v>
      </c>
      <c r="BM4" s="372">
        <v>16815069</v>
      </c>
      <c r="BN4" s="372">
        <v>12828535</v>
      </c>
      <c r="BO4" s="372">
        <v>13830327</v>
      </c>
      <c r="BP4" s="18">
        <v>76515821.808318406</v>
      </c>
      <c r="BQ4" s="291">
        <v>5440624</v>
      </c>
      <c r="BR4" s="372">
        <v>22368707</v>
      </c>
      <c r="BS4" s="372">
        <v>10138726</v>
      </c>
      <c r="BT4" s="372">
        <v>9091151</v>
      </c>
      <c r="BU4" s="372">
        <v>11857793</v>
      </c>
      <c r="BV4" s="372">
        <v>22810333</v>
      </c>
      <c r="BW4" s="372">
        <v>47620895</v>
      </c>
      <c r="BX4" s="372">
        <v>30318438.300000001</v>
      </c>
      <c r="BY4" s="372">
        <v>19151391</v>
      </c>
      <c r="BZ4" s="372">
        <v>17456974</v>
      </c>
      <c r="CA4" s="372">
        <v>12907044</v>
      </c>
      <c r="CB4" s="374">
        <v>13962284</v>
      </c>
      <c r="CC4" s="373">
        <v>10519428</v>
      </c>
    </row>
    <row r="5" spans="1:81" x14ac:dyDescent="0.3">
      <c r="A5" s="2">
        <v>2</v>
      </c>
      <c r="B5" s="3" t="s">
        <v>10</v>
      </c>
      <c r="C5" s="4">
        <v>3161000000</v>
      </c>
      <c r="D5" s="372">
        <v>200374770</v>
      </c>
      <c r="E5" s="372" t="s">
        <v>29</v>
      </c>
      <c r="F5" s="372">
        <v>514406764</v>
      </c>
      <c r="G5" s="372">
        <v>773372092</v>
      </c>
      <c r="H5" s="372">
        <v>604303476.19000006</v>
      </c>
      <c r="I5" s="372">
        <v>956173071</v>
      </c>
      <c r="J5" s="372"/>
      <c r="K5" s="34">
        <v>1221276312.7450562</v>
      </c>
      <c r="L5" s="372">
        <v>742540480</v>
      </c>
      <c r="M5" s="372">
        <v>810000000</v>
      </c>
      <c r="N5" s="372">
        <v>504871605</v>
      </c>
      <c r="O5" s="373">
        <v>504920680</v>
      </c>
      <c r="P5" s="18">
        <v>3099032691.975636</v>
      </c>
      <c r="Q5" s="372">
        <v>190411623</v>
      </c>
      <c r="R5" s="372">
        <v>617202987</v>
      </c>
      <c r="S5" s="372">
        <v>503228269</v>
      </c>
      <c r="T5" s="372">
        <v>746504924</v>
      </c>
      <c r="U5" s="372">
        <v>593539833.58000004</v>
      </c>
      <c r="V5" s="372">
        <v>1002576982</v>
      </c>
      <c r="W5" s="372">
        <v>1808966342</v>
      </c>
      <c r="X5" s="372">
        <v>1282552885.8000002</v>
      </c>
      <c r="Y5" s="372">
        <v>833386693</v>
      </c>
      <c r="Z5" s="372">
        <v>805163400</v>
      </c>
      <c r="AA5" s="372">
        <v>157513051</v>
      </c>
      <c r="AB5" s="373">
        <v>517314320</v>
      </c>
      <c r="AC5" s="18">
        <v>3343972478.0162907</v>
      </c>
      <c r="AD5" s="372">
        <v>197013989</v>
      </c>
      <c r="AE5" s="372">
        <v>678200512</v>
      </c>
      <c r="AF5" s="372">
        <v>442080850</v>
      </c>
      <c r="AG5" s="372">
        <v>747534480</v>
      </c>
      <c r="AH5" s="372">
        <v>579136611.65999997</v>
      </c>
      <c r="AI5" s="372">
        <v>1089105346</v>
      </c>
      <c r="AJ5" s="372">
        <v>1650196680</v>
      </c>
      <c r="AK5" s="372">
        <v>1330408346</v>
      </c>
      <c r="AL5" s="372">
        <v>862672932</v>
      </c>
      <c r="AM5" s="372">
        <v>804791205</v>
      </c>
      <c r="AN5" s="372">
        <v>443820895</v>
      </c>
      <c r="AO5" s="373">
        <v>525616360</v>
      </c>
      <c r="AP5" s="18">
        <v>3311810313.1180086</v>
      </c>
      <c r="AQ5" s="372">
        <v>191544097</v>
      </c>
      <c r="AR5" s="372">
        <v>687265662</v>
      </c>
      <c r="AS5" s="372">
        <v>450550087</v>
      </c>
      <c r="AT5" s="372">
        <v>744472500</v>
      </c>
      <c r="AU5" s="372">
        <v>587028994</v>
      </c>
      <c r="AV5" s="372">
        <v>1039050506</v>
      </c>
      <c r="AW5" s="372">
        <v>1979344349</v>
      </c>
      <c r="AX5" s="372">
        <v>1319054445</v>
      </c>
      <c r="AY5" s="372">
        <v>834220024</v>
      </c>
      <c r="AZ5" s="372">
        <v>775498770</v>
      </c>
      <c r="BA5" s="372">
        <v>452653862</v>
      </c>
      <c r="BB5" s="373">
        <v>503501120</v>
      </c>
      <c r="BC5" s="4">
        <v>3317859512.7112246</v>
      </c>
      <c r="BD5" s="372">
        <v>195705445</v>
      </c>
      <c r="BE5" s="372">
        <v>680682837</v>
      </c>
      <c r="BF5" s="372">
        <v>453668576</v>
      </c>
      <c r="BG5" s="372">
        <v>747790260</v>
      </c>
      <c r="BH5" s="372">
        <v>581437252</v>
      </c>
      <c r="BI5" s="372">
        <v>1001785391</v>
      </c>
      <c r="BJ5" s="372">
        <v>2016385983</v>
      </c>
      <c r="BK5" s="372">
        <v>1274128837.1700003</v>
      </c>
      <c r="BL5" s="372">
        <v>843219080</v>
      </c>
      <c r="BM5" s="372">
        <v>756678105</v>
      </c>
      <c r="BN5" s="372">
        <v>448998725</v>
      </c>
      <c r="BO5" s="372">
        <v>553213080</v>
      </c>
      <c r="BP5" s="18">
        <v>3267879661.2342458</v>
      </c>
      <c r="BQ5" s="291">
        <v>199198541</v>
      </c>
      <c r="BR5" s="372">
        <v>691491751</v>
      </c>
      <c r="BS5" s="372">
        <v>435965218</v>
      </c>
      <c r="BT5" s="372">
        <v>327281436</v>
      </c>
      <c r="BU5" s="372">
        <v>555167986</v>
      </c>
      <c r="BV5" s="372">
        <v>1034229518</v>
      </c>
      <c r="BW5" s="372">
        <v>2022500583</v>
      </c>
      <c r="BX5" s="372">
        <v>1303692846.9000001</v>
      </c>
      <c r="BY5" s="372">
        <v>842661204</v>
      </c>
      <c r="BZ5" s="372">
        <v>785563830</v>
      </c>
      <c r="CA5" s="372">
        <v>451746540</v>
      </c>
      <c r="CB5" s="372">
        <v>558491360</v>
      </c>
      <c r="CC5" s="373">
        <v>378699408</v>
      </c>
    </row>
    <row r="6" spans="1:81" x14ac:dyDescent="0.3">
      <c r="A6" s="2">
        <v>3</v>
      </c>
      <c r="B6" s="3" t="s">
        <v>11</v>
      </c>
      <c r="C6" s="4">
        <v>179712441.9867318</v>
      </c>
      <c r="D6" s="372">
        <v>1543858</v>
      </c>
      <c r="E6" s="372">
        <v>11299106</v>
      </c>
      <c r="F6" s="372">
        <v>10192372</v>
      </c>
      <c r="G6" s="372">
        <v>16640161</v>
      </c>
      <c r="H6" s="372">
        <v>12625254</v>
      </c>
      <c r="I6" s="372">
        <v>27155934</v>
      </c>
      <c r="J6" s="372"/>
      <c r="K6" s="34">
        <v>40789464</v>
      </c>
      <c r="L6" s="372">
        <v>18983713</v>
      </c>
      <c r="M6" s="372">
        <v>6042411</v>
      </c>
      <c r="N6" s="372">
        <v>8001221</v>
      </c>
      <c r="O6" s="373">
        <v>12801227</v>
      </c>
      <c r="P6" s="18">
        <v>117630310.43723659</v>
      </c>
      <c r="Q6" s="372">
        <v>1185928</v>
      </c>
      <c r="R6" s="372">
        <v>7529929</v>
      </c>
      <c r="S6" s="372">
        <v>7041519</v>
      </c>
      <c r="T6" s="372">
        <v>11539922</v>
      </c>
      <c r="U6" s="372">
        <v>8832030</v>
      </c>
      <c r="V6" s="372">
        <v>20170969</v>
      </c>
      <c r="W6" s="372">
        <v>4001600</v>
      </c>
      <c r="X6" s="372">
        <v>28775643</v>
      </c>
      <c r="Y6" s="372">
        <v>14406819</v>
      </c>
      <c r="Z6" s="372">
        <v>4140727</v>
      </c>
      <c r="AA6" s="372">
        <v>5430833</v>
      </c>
      <c r="AB6" s="373">
        <v>10683716</v>
      </c>
      <c r="AC6" s="18">
        <v>120326672.90523006</v>
      </c>
      <c r="AD6" s="372">
        <v>848750</v>
      </c>
      <c r="AE6" s="372">
        <v>8417101</v>
      </c>
      <c r="AF6" s="372">
        <v>6741987</v>
      </c>
      <c r="AG6" s="372">
        <v>11126668</v>
      </c>
      <c r="AH6" s="372">
        <v>9125123</v>
      </c>
      <c r="AI6" s="372">
        <v>23274661</v>
      </c>
      <c r="AJ6" s="372">
        <v>45786000</v>
      </c>
      <c r="AK6" s="372">
        <v>33329452</v>
      </c>
      <c r="AL6" s="372">
        <v>14801485</v>
      </c>
      <c r="AM6" s="372">
        <v>4007517</v>
      </c>
      <c r="AN6" s="372">
        <v>5749440</v>
      </c>
      <c r="AO6" s="373">
        <v>12137925</v>
      </c>
      <c r="AP6" s="18">
        <v>159178574.26771131</v>
      </c>
      <c r="AQ6" s="372">
        <v>942871</v>
      </c>
      <c r="AR6" s="372">
        <v>9764547</v>
      </c>
      <c r="AS6" s="372">
        <v>7362125</v>
      </c>
      <c r="AT6" s="372">
        <v>14114413</v>
      </c>
      <c r="AU6" s="372">
        <v>11222273</v>
      </c>
      <c r="AV6" s="372">
        <v>28984074</v>
      </c>
      <c r="AW6" s="372">
        <v>57805000</v>
      </c>
      <c r="AX6" s="372">
        <v>41167572</v>
      </c>
      <c r="AY6" s="372">
        <v>18336236</v>
      </c>
      <c r="AZ6" s="372">
        <v>4820892</v>
      </c>
      <c r="BA6" s="372">
        <v>6437178</v>
      </c>
      <c r="BB6" s="373">
        <v>14993451</v>
      </c>
      <c r="BC6" s="4">
        <v>180074853.54570207</v>
      </c>
      <c r="BD6" s="372">
        <v>1499197</v>
      </c>
      <c r="BE6" s="372">
        <v>10717629</v>
      </c>
      <c r="BF6" s="372">
        <v>8837379</v>
      </c>
      <c r="BG6" s="372">
        <v>15856278</v>
      </c>
      <c r="BH6" s="372">
        <v>12054762</v>
      </c>
      <c r="BI6" s="372">
        <v>34466506</v>
      </c>
      <c r="BJ6" s="372">
        <v>63071000</v>
      </c>
      <c r="BK6" s="372">
        <v>47101026</v>
      </c>
      <c r="BL6" s="372">
        <v>20862384</v>
      </c>
      <c r="BM6" s="372">
        <v>6367799</v>
      </c>
      <c r="BN6" s="372">
        <v>7409937</v>
      </c>
      <c r="BO6" s="372">
        <v>17800417</v>
      </c>
      <c r="BP6" s="18">
        <v>179756599.89391184</v>
      </c>
      <c r="BQ6" s="291">
        <v>1482838</v>
      </c>
      <c r="BR6" s="372">
        <v>11085614</v>
      </c>
      <c r="BS6" s="372">
        <v>8484803</v>
      </c>
      <c r="BT6" s="372">
        <v>6371916</v>
      </c>
      <c r="BU6" s="372">
        <v>12302741</v>
      </c>
      <c r="BV6" s="372">
        <v>35324611</v>
      </c>
      <c r="BW6" s="372">
        <v>65079486</v>
      </c>
      <c r="BX6" s="372">
        <v>49845400.122407913</v>
      </c>
      <c r="BY6" s="372">
        <v>21851602</v>
      </c>
      <c r="BZ6" s="372">
        <v>6116299</v>
      </c>
      <c r="CA6" s="372">
        <v>7523996</v>
      </c>
      <c r="CB6" s="372">
        <v>18198084</v>
      </c>
      <c r="CC6" s="373">
        <v>10063700</v>
      </c>
    </row>
    <row r="7" spans="1:81" x14ac:dyDescent="0.3">
      <c r="A7" s="2">
        <v>4</v>
      </c>
      <c r="B7" s="5" t="s">
        <v>12</v>
      </c>
      <c r="C7" s="4">
        <v>1453977723.2182922</v>
      </c>
      <c r="D7" s="372">
        <v>38382049</v>
      </c>
      <c r="E7" s="372">
        <v>181683024</v>
      </c>
      <c r="F7" s="372">
        <v>68963335</v>
      </c>
      <c r="G7" s="372">
        <v>166522950.69999999</v>
      </c>
      <c r="H7" s="372">
        <v>144685410.84</v>
      </c>
      <c r="I7" s="372">
        <v>150111141</v>
      </c>
      <c r="J7" s="372"/>
      <c r="K7" s="34">
        <v>428289372</v>
      </c>
      <c r="L7" s="372">
        <v>177253697</v>
      </c>
      <c r="M7" s="372">
        <v>54381699</v>
      </c>
      <c r="N7" s="372">
        <v>80012210</v>
      </c>
      <c r="O7" s="373">
        <v>156525411</v>
      </c>
      <c r="P7" s="18">
        <v>845250128.07263398</v>
      </c>
      <c r="Q7" s="372">
        <v>28459023</v>
      </c>
      <c r="R7" s="372">
        <v>81882629</v>
      </c>
      <c r="S7" s="372">
        <v>57469446</v>
      </c>
      <c r="T7" s="372">
        <v>115594157.79999998</v>
      </c>
      <c r="U7" s="372">
        <v>124531623</v>
      </c>
      <c r="V7" s="372">
        <v>146089940</v>
      </c>
      <c r="W7" s="372">
        <v>300469979</v>
      </c>
      <c r="X7" s="372">
        <v>302144251.5</v>
      </c>
      <c r="Y7" s="372">
        <v>135468473</v>
      </c>
      <c r="Z7" s="372">
        <v>37266543</v>
      </c>
      <c r="AA7" s="372">
        <v>54308330</v>
      </c>
      <c r="AB7" s="373">
        <v>134501723</v>
      </c>
      <c r="AC7" s="18">
        <v>895385614.79421031</v>
      </c>
      <c r="AD7" s="372">
        <v>22205376</v>
      </c>
      <c r="AE7" s="372">
        <v>90938676</v>
      </c>
      <c r="AF7" s="372">
        <v>55170668</v>
      </c>
      <c r="AG7" s="372">
        <v>111030242</v>
      </c>
      <c r="AH7" s="372">
        <v>125363959</v>
      </c>
      <c r="AI7" s="372">
        <v>140685881</v>
      </c>
      <c r="AJ7" s="372">
        <v>348178765</v>
      </c>
      <c r="AK7" s="372">
        <v>349959246</v>
      </c>
      <c r="AL7" s="372">
        <v>139178363</v>
      </c>
      <c r="AM7" s="372">
        <v>36067653</v>
      </c>
      <c r="AN7" s="372">
        <v>57494400</v>
      </c>
      <c r="AO7" s="373">
        <v>136660254</v>
      </c>
      <c r="AP7" s="18">
        <v>759000000</v>
      </c>
      <c r="AQ7" s="372">
        <v>26306906</v>
      </c>
      <c r="AR7" s="372">
        <v>105247093</v>
      </c>
      <c r="AS7" s="372">
        <v>66954694</v>
      </c>
      <c r="AT7" s="372">
        <v>142138317.5</v>
      </c>
      <c r="AU7" s="372">
        <v>139436996</v>
      </c>
      <c r="AV7" s="372">
        <v>172789891</v>
      </c>
      <c r="AW7" s="372">
        <v>423611137</v>
      </c>
      <c r="AX7" s="372">
        <v>307779371</v>
      </c>
      <c r="AY7" s="372">
        <v>172969823</v>
      </c>
      <c r="AZ7" s="372">
        <v>43388028</v>
      </c>
      <c r="BA7" s="372">
        <v>64371780</v>
      </c>
      <c r="BB7" s="373">
        <v>130910291</v>
      </c>
      <c r="BC7" s="4">
        <v>847639899.25943065</v>
      </c>
      <c r="BD7" s="372">
        <v>30671903</v>
      </c>
      <c r="BE7" s="372">
        <v>114646625</v>
      </c>
      <c r="BF7" s="372">
        <v>69665328</v>
      </c>
      <c r="BG7" s="372">
        <v>160280183.40000001</v>
      </c>
      <c r="BH7" s="372">
        <v>138019045</v>
      </c>
      <c r="BI7" s="372">
        <v>190269070</v>
      </c>
      <c r="BJ7" s="372">
        <v>480056984</v>
      </c>
      <c r="BK7" s="372">
        <v>494560773</v>
      </c>
      <c r="BL7" s="372">
        <v>189736913.20000002</v>
      </c>
      <c r="BM7" s="372">
        <v>57310191</v>
      </c>
      <c r="BN7" s="372">
        <v>74099370</v>
      </c>
      <c r="BO7" s="372">
        <v>143835401</v>
      </c>
      <c r="BP7" s="18">
        <v>860154809.10424554</v>
      </c>
      <c r="BQ7" s="291">
        <v>32972950</v>
      </c>
      <c r="BR7" s="372">
        <v>119261412</v>
      </c>
      <c r="BS7" s="372">
        <v>67878424</v>
      </c>
      <c r="BT7" s="372">
        <v>109596955</v>
      </c>
      <c r="BU7" s="372">
        <v>140251247</v>
      </c>
      <c r="BV7" s="372">
        <v>202864453</v>
      </c>
      <c r="BW7" s="372">
        <v>527435508</v>
      </c>
      <c r="BX7" s="372">
        <v>523376701.28528309</v>
      </c>
      <c r="BY7" s="372">
        <v>188866445</v>
      </c>
      <c r="BZ7" s="372">
        <v>55046691</v>
      </c>
      <c r="CA7" s="372">
        <v>75239960</v>
      </c>
      <c r="CB7" s="372">
        <v>145207754</v>
      </c>
      <c r="CC7" s="373">
        <v>71452270</v>
      </c>
    </row>
    <row r="8" spans="1:81" x14ac:dyDescent="0.3">
      <c r="A8" s="2">
        <v>5</v>
      </c>
      <c r="B8" s="6" t="s">
        <v>13</v>
      </c>
      <c r="C8" s="4">
        <v>3936165958.4877357</v>
      </c>
      <c r="D8" s="372" t="s">
        <v>27</v>
      </c>
      <c r="E8" s="372" t="s">
        <v>29</v>
      </c>
      <c r="F8" s="372">
        <v>765628672</v>
      </c>
      <c r="G8" s="372">
        <v>1637001290</v>
      </c>
      <c r="H8" s="372">
        <v>125730055414</v>
      </c>
      <c r="I8" s="372">
        <v>956173071</v>
      </c>
      <c r="J8" s="372"/>
      <c r="K8" s="34">
        <v>2268859994.3441486</v>
      </c>
      <c r="L8" s="372">
        <v>1136858159</v>
      </c>
      <c r="M8" s="372">
        <v>1422000000</v>
      </c>
      <c r="N8" s="372"/>
      <c r="O8" s="373"/>
      <c r="P8" s="18">
        <v>5090675399.3119087</v>
      </c>
      <c r="Q8" s="372" t="s">
        <v>27</v>
      </c>
      <c r="R8" s="372">
        <v>925804480.5</v>
      </c>
      <c r="S8" s="372">
        <v>748990912</v>
      </c>
      <c r="T8" s="372">
        <v>1582315130</v>
      </c>
      <c r="U8" s="372">
        <v>123490595548</v>
      </c>
      <c r="V8" s="372">
        <v>1002576982</v>
      </c>
      <c r="W8" s="372">
        <v>3202295858.1400013</v>
      </c>
      <c r="X8" s="372">
        <v>2382698250.0640001</v>
      </c>
      <c r="Y8" s="372">
        <v>1153832568</v>
      </c>
      <c r="Z8" s="372">
        <v>1413509080</v>
      </c>
      <c r="AA8" s="372"/>
      <c r="AB8" s="373"/>
      <c r="AC8" s="18">
        <v>5461338782.4329481</v>
      </c>
      <c r="AD8" s="372" t="s">
        <v>27</v>
      </c>
      <c r="AE8" s="372">
        <v>1017300768</v>
      </c>
      <c r="AF8" s="372">
        <v>657980800</v>
      </c>
      <c r="AG8" s="372">
        <v>1581872600</v>
      </c>
      <c r="AH8" s="372">
        <v>120493892796</v>
      </c>
      <c r="AI8" s="372">
        <v>1089105346</v>
      </c>
      <c r="AJ8" s="372">
        <v>3453564658</v>
      </c>
      <c r="AK8" s="372">
        <v>2344475151.7519803</v>
      </c>
      <c r="AL8" s="372">
        <v>1195978383</v>
      </c>
      <c r="AM8" s="372">
        <v>1412855671</v>
      </c>
      <c r="AN8" s="372"/>
      <c r="AO8" s="373"/>
      <c r="AP8" s="18">
        <v>5404000000</v>
      </c>
      <c r="AQ8" s="372" t="s">
        <v>27</v>
      </c>
      <c r="AR8" s="372">
        <v>1030898493</v>
      </c>
      <c r="AS8" s="372">
        <v>670586176</v>
      </c>
      <c r="AT8" s="372">
        <v>1575918750</v>
      </c>
      <c r="AU8" s="372">
        <v>119159488928</v>
      </c>
      <c r="AV8" s="372">
        <v>1039050506</v>
      </c>
      <c r="AW8" s="372">
        <v>3989931477.7850003</v>
      </c>
      <c r="AX8" s="372">
        <v>2324467055.2999997</v>
      </c>
      <c r="AY8" s="372">
        <v>1156532306</v>
      </c>
      <c r="AZ8" s="372">
        <v>1361431174</v>
      </c>
      <c r="BA8" s="372"/>
      <c r="BB8" s="373"/>
      <c r="BC8" s="4">
        <v>5429950340.7130346</v>
      </c>
      <c r="BD8" s="372" t="s">
        <v>27</v>
      </c>
      <c r="BE8" s="372">
        <v>1021024255.5</v>
      </c>
      <c r="BF8" s="372">
        <v>675227648</v>
      </c>
      <c r="BG8" s="372">
        <v>1582369950</v>
      </c>
      <c r="BH8" s="372">
        <v>117067291058</v>
      </c>
      <c r="BI8" s="372">
        <v>1001785391</v>
      </c>
      <c r="BJ8" s="372">
        <v>4059679428</v>
      </c>
      <c r="BK8" s="372">
        <v>2349730622.9670005</v>
      </c>
      <c r="BL8" s="372">
        <v>1169008270</v>
      </c>
      <c r="BM8" s="372">
        <v>1328390451</v>
      </c>
      <c r="BN8" s="372"/>
      <c r="BO8" s="372"/>
      <c r="BP8" s="18">
        <v>5344843530.0140829</v>
      </c>
      <c r="BQ8" s="291">
        <v>0</v>
      </c>
      <c r="BR8" s="372">
        <v>1037237626.5</v>
      </c>
      <c r="BS8" s="372">
        <v>648878464</v>
      </c>
      <c r="BT8" s="372">
        <v>636380570</v>
      </c>
      <c r="BU8" s="372">
        <v>115316160212</v>
      </c>
      <c r="BV8" s="372">
        <v>1034229518</v>
      </c>
      <c r="BW8" s="372">
        <v>3841210107</v>
      </c>
      <c r="BX8" s="372">
        <v>2404252157.1900001</v>
      </c>
      <c r="BY8" s="372">
        <v>1168234851</v>
      </c>
      <c r="BZ8" s="372">
        <v>1379100946</v>
      </c>
      <c r="CA8" s="372">
        <v>0</v>
      </c>
      <c r="CB8" s="372">
        <v>113715613</v>
      </c>
      <c r="CC8" s="373">
        <v>945000000</v>
      </c>
    </row>
    <row r="9" spans="1:81" x14ac:dyDescent="0.3">
      <c r="A9" s="2">
        <v>6</v>
      </c>
      <c r="B9" s="6" t="s">
        <v>14</v>
      </c>
      <c r="C9" s="4">
        <v>83248083.729044616</v>
      </c>
      <c r="D9" s="372">
        <v>5579505.5999999996</v>
      </c>
      <c r="E9" s="372" t="s">
        <v>29</v>
      </c>
      <c r="F9" s="372">
        <v>13757390.199999999</v>
      </c>
      <c r="G9" s="372">
        <v>23312164.049999997</v>
      </c>
      <c r="H9" s="372">
        <v>15216750.549999999</v>
      </c>
      <c r="I9" s="372">
        <v>20480585</v>
      </c>
      <c r="J9" s="372"/>
      <c r="K9" s="34">
        <v>31210394.659040317</v>
      </c>
      <c r="L9" s="372">
        <v>21432571.849999998</v>
      </c>
      <c r="M9" s="372">
        <v>20700000</v>
      </c>
      <c r="N9" s="372"/>
      <c r="O9" s="373">
        <v>14516469.549999999</v>
      </c>
      <c r="P9" s="18">
        <v>84864751.360801041</v>
      </c>
      <c r="Q9" s="372">
        <v>5274088.5999999996</v>
      </c>
      <c r="R9" s="372">
        <v>22568031.25</v>
      </c>
      <c r="S9" s="372">
        <v>13458430.449999999</v>
      </c>
      <c r="T9" s="372">
        <v>22479462.849999998</v>
      </c>
      <c r="U9" s="372">
        <v>14945715.1</v>
      </c>
      <c r="V9" s="372">
        <v>21714769</v>
      </c>
      <c r="W9" s="372">
        <v>50325143.099999994</v>
      </c>
      <c r="X9" s="372">
        <v>32776351.526000001</v>
      </c>
      <c r="Y9" s="411">
        <v>21752581.199999999</v>
      </c>
      <c r="Z9" s="372">
        <v>20576398</v>
      </c>
      <c r="AA9" s="372"/>
      <c r="AB9" s="373">
        <v>14872786.699999999</v>
      </c>
      <c r="AC9" s="18">
        <v>90130528.058290377</v>
      </c>
      <c r="AD9" s="372">
        <v>5462820.8499999996</v>
      </c>
      <c r="AE9" s="372">
        <v>24104607.199999999</v>
      </c>
      <c r="AF9" s="372">
        <v>11823092.5</v>
      </c>
      <c r="AG9" s="372">
        <v>22537907</v>
      </c>
      <c r="AH9" s="372">
        <v>14583032.699999999</v>
      </c>
      <c r="AI9" s="372">
        <v>22905933</v>
      </c>
      <c r="AJ9" s="372">
        <v>45525377.75</v>
      </c>
      <c r="AK9" s="372">
        <v>33999324.394890003</v>
      </c>
      <c r="AL9" s="411">
        <v>22547133.449999999</v>
      </c>
      <c r="AM9" s="372">
        <v>20566886.349999998</v>
      </c>
      <c r="AN9" s="372"/>
      <c r="AO9" s="373">
        <v>15111470.35</v>
      </c>
      <c r="AP9" s="18">
        <v>89699999.999999985</v>
      </c>
      <c r="AQ9" s="372">
        <v>5458456.5999999996</v>
      </c>
      <c r="AR9" s="372">
        <v>24299301.049999997</v>
      </c>
      <c r="AS9" s="372">
        <v>12049595.35</v>
      </c>
      <c r="AT9" s="372">
        <v>22440093.75</v>
      </c>
      <c r="AU9" s="372">
        <v>14421533.6</v>
      </c>
      <c r="AV9" s="372">
        <v>22565984</v>
      </c>
      <c r="AW9" s="372">
        <v>52459192.349999994</v>
      </c>
      <c r="AX9" s="372">
        <v>33709169.149999999</v>
      </c>
      <c r="AY9" s="411">
        <v>21803477.899999999</v>
      </c>
      <c r="AZ9" s="372">
        <v>19818301.899999999</v>
      </c>
      <c r="BA9" s="372"/>
      <c r="BB9" s="373">
        <v>14475657.199999999</v>
      </c>
      <c r="BC9" s="4">
        <v>89388886.756720021</v>
      </c>
      <c r="BD9" s="372">
        <v>5295559.0999999996</v>
      </c>
      <c r="BE9" s="372">
        <v>25202769.799999997</v>
      </c>
      <c r="BF9" s="372">
        <v>12132996.799999999</v>
      </c>
      <c r="BG9" s="372">
        <v>22546077.75</v>
      </c>
      <c r="BH9" s="372">
        <v>14168320.85</v>
      </c>
      <c r="BI9" s="372">
        <v>23304076</v>
      </c>
      <c r="BJ9" s="372">
        <v>53298417.499999993</v>
      </c>
      <c r="BK9" s="372">
        <v>34075538.668500006</v>
      </c>
      <c r="BL9" s="411">
        <v>22038680.5</v>
      </c>
      <c r="BM9" s="372">
        <v>19337329.349999998</v>
      </c>
      <c r="BN9" s="372"/>
      <c r="BO9" s="372">
        <v>15904876.049999999</v>
      </c>
      <c r="BP9" s="18">
        <v>87993195.079566166</v>
      </c>
      <c r="BQ9" s="291">
        <v>6163254</v>
      </c>
      <c r="BR9" s="372">
        <v>25724013.049999997</v>
      </c>
      <c r="BS9" s="372">
        <v>11659534</v>
      </c>
      <c r="BT9" s="372">
        <v>10454824</v>
      </c>
      <c r="BU9" s="372">
        <v>13906214</v>
      </c>
      <c r="BV9" s="372">
        <v>22810333</v>
      </c>
      <c r="BW9" s="372">
        <v>54764029.249999993</v>
      </c>
      <c r="BX9" s="372">
        <v>34866204.045000002</v>
      </c>
      <c r="BY9" s="372">
        <v>22024099.649999999</v>
      </c>
      <c r="BZ9" s="372">
        <v>20075520</v>
      </c>
      <c r="CA9" s="372">
        <v>0</v>
      </c>
      <c r="CB9" s="372">
        <v>16056626</v>
      </c>
      <c r="CC9" s="373">
        <v>12097342</v>
      </c>
    </row>
    <row r="10" spans="1:81" x14ac:dyDescent="0.3">
      <c r="A10" s="2">
        <v>7</v>
      </c>
      <c r="B10" s="3" t="s">
        <v>15</v>
      </c>
      <c r="C10" s="372">
        <v>1136887735.714293</v>
      </c>
      <c r="D10" s="372">
        <v>230000000</v>
      </c>
      <c r="E10" s="372">
        <v>709600000</v>
      </c>
      <c r="F10" s="372">
        <v>409800000</v>
      </c>
      <c r="G10" s="372"/>
      <c r="H10" s="372">
        <v>434299998</v>
      </c>
      <c r="I10" s="372"/>
      <c r="J10" s="372"/>
      <c r="K10" s="34">
        <v>675495000</v>
      </c>
      <c r="L10" s="375">
        <v>440985000</v>
      </c>
      <c r="M10" s="372">
        <v>378070000</v>
      </c>
      <c r="N10" s="372">
        <v>319235312</v>
      </c>
      <c r="O10" s="373">
        <v>247268516.193573</v>
      </c>
      <c r="P10" s="376">
        <v>2158606754.8376379</v>
      </c>
      <c r="Q10" s="372">
        <v>230000000</v>
      </c>
      <c r="R10" s="372">
        <v>704362600</v>
      </c>
      <c r="S10" s="377">
        <v>450800000</v>
      </c>
      <c r="T10" s="372">
        <v>618507202</v>
      </c>
      <c r="U10" s="372">
        <v>456215983</v>
      </c>
      <c r="V10" s="372"/>
      <c r="W10" s="372">
        <v>588398533</v>
      </c>
      <c r="X10" s="372">
        <v>698493000</v>
      </c>
      <c r="Y10" s="411">
        <v>470651988</v>
      </c>
      <c r="Z10" s="372">
        <v>478301000</v>
      </c>
      <c r="AA10" s="372">
        <v>393000337</v>
      </c>
      <c r="AB10" s="373">
        <v>293448951.19461805</v>
      </c>
      <c r="AC10" s="376">
        <v>2279175362.9699669</v>
      </c>
      <c r="AD10" s="372">
        <v>235000000</v>
      </c>
      <c r="AE10" s="372">
        <v>700112334</v>
      </c>
      <c r="AF10" s="372">
        <v>421800000</v>
      </c>
      <c r="AG10" s="372">
        <v>612890494</v>
      </c>
      <c r="AH10" s="372">
        <v>462100000</v>
      </c>
      <c r="AI10" s="372"/>
      <c r="AJ10" s="372">
        <v>963841594</v>
      </c>
      <c r="AK10" s="372">
        <v>709697000</v>
      </c>
      <c r="AL10" s="411">
        <v>19639903</v>
      </c>
      <c r="AM10" s="372">
        <v>424478000</v>
      </c>
      <c r="AN10" s="372">
        <v>411593365</v>
      </c>
      <c r="AO10" s="373">
        <v>313771236.39111197</v>
      </c>
      <c r="AP10" s="376">
        <v>2044371892.3993344</v>
      </c>
      <c r="AQ10" s="372">
        <v>280000000</v>
      </c>
      <c r="AR10" s="372">
        <v>804484013</v>
      </c>
      <c r="AS10" s="372">
        <v>485500000</v>
      </c>
      <c r="AT10" s="372">
        <v>641444722</v>
      </c>
      <c r="AU10" s="372">
        <v>472263000</v>
      </c>
      <c r="AV10" s="372"/>
      <c r="AW10" s="372">
        <v>1117933100</v>
      </c>
      <c r="AX10" s="372">
        <v>719568000</v>
      </c>
      <c r="AY10" s="411">
        <v>489227305</v>
      </c>
      <c r="AZ10" s="372">
        <v>465622000</v>
      </c>
      <c r="BA10" s="372">
        <v>384284675</v>
      </c>
      <c r="BB10" s="373">
        <v>339401127.62302297</v>
      </c>
      <c r="BC10" s="372">
        <v>2251652611.3197069</v>
      </c>
      <c r="BD10" s="372">
        <v>280000000</v>
      </c>
      <c r="BE10" s="372">
        <v>857528458</v>
      </c>
      <c r="BF10" s="372">
        <v>558400000</v>
      </c>
      <c r="BG10" s="372">
        <v>652362799</v>
      </c>
      <c r="BH10" s="372">
        <v>580900000</v>
      </c>
      <c r="BI10" s="372"/>
      <c r="BJ10" s="372">
        <v>1234192195</v>
      </c>
      <c r="BK10" s="372">
        <v>850789000</v>
      </c>
      <c r="BL10" s="411">
        <v>564362001</v>
      </c>
      <c r="BM10" s="372">
        <v>472962282.57999998</v>
      </c>
      <c r="BN10" s="372">
        <v>443703668</v>
      </c>
      <c r="BO10" s="372">
        <v>436496812.38519704</v>
      </c>
      <c r="BP10" s="376">
        <v>2262024000</v>
      </c>
      <c r="BQ10" s="292">
        <v>267429430</v>
      </c>
      <c r="BR10" s="372">
        <v>891229729</v>
      </c>
      <c r="BS10" s="372">
        <v>560392000</v>
      </c>
      <c r="BT10" s="372">
        <v>348363426</v>
      </c>
      <c r="BU10" s="372">
        <v>530000000</v>
      </c>
      <c r="BV10" s="372">
        <v>1373197004</v>
      </c>
      <c r="BW10" s="372">
        <v>1254109079</v>
      </c>
      <c r="BX10" s="372">
        <v>1036200173</v>
      </c>
      <c r="BY10" s="372">
        <v>605862548.05293</v>
      </c>
      <c r="BZ10" s="1">
        <v>513985148</v>
      </c>
      <c r="CA10" s="372">
        <v>498697550</v>
      </c>
      <c r="CB10" s="372">
        <v>467981008</v>
      </c>
      <c r="CC10" s="373">
        <v>449462270</v>
      </c>
    </row>
    <row r="11" spans="1:81" x14ac:dyDescent="0.3">
      <c r="A11" s="2">
        <v>8</v>
      </c>
      <c r="B11" s="7" t="s">
        <v>16</v>
      </c>
      <c r="C11" s="372">
        <v>117000000</v>
      </c>
      <c r="D11" s="372">
        <v>0</v>
      </c>
      <c r="E11" s="372">
        <v>0</v>
      </c>
      <c r="F11" s="372">
        <v>49300000</v>
      </c>
      <c r="G11" s="372"/>
      <c r="H11" s="372">
        <v>0</v>
      </c>
      <c r="I11" s="372"/>
      <c r="J11" s="372"/>
      <c r="K11" s="34"/>
      <c r="L11" s="375">
        <v>73000000</v>
      </c>
      <c r="M11" s="372"/>
      <c r="N11" s="372"/>
      <c r="O11" s="373">
        <v>36000000</v>
      </c>
      <c r="P11" s="376">
        <v>117000000</v>
      </c>
      <c r="Q11" s="372">
        <v>0</v>
      </c>
      <c r="R11" s="372">
        <v>0</v>
      </c>
      <c r="S11" s="377">
        <v>59400000</v>
      </c>
      <c r="T11" s="372">
        <v>50963243</v>
      </c>
      <c r="U11" s="372">
        <v>0</v>
      </c>
      <c r="V11" s="372"/>
      <c r="W11" s="372">
        <v>480593400</v>
      </c>
      <c r="X11" s="372"/>
      <c r="Y11" s="411">
        <v>74000000</v>
      </c>
      <c r="Z11" s="372"/>
      <c r="AA11" s="372"/>
      <c r="AB11" s="373">
        <v>50874000</v>
      </c>
      <c r="AC11" s="376">
        <v>117000000</v>
      </c>
      <c r="AD11" s="372">
        <v>0</v>
      </c>
      <c r="AE11" s="372">
        <v>0</v>
      </c>
      <c r="AF11" s="372">
        <v>38500000</v>
      </c>
      <c r="AG11" s="372">
        <v>56092800</v>
      </c>
      <c r="AH11" s="372">
        <v>0</v>
      </c>
      <c r="AI11" s="372"/>
      <c r="AJ11" s="372">
        <v>346300000</v>
      </c>
      <c r="AK11" s="372"/>
      <c r="AL11" s="411">
        <v>863448032</v>
      </c>
      <c r="AM11" s="372"/>
      <c r="AN11" s="372"/>
      <c r="AO11" s="373">
        <v>58115000</v>
      </c>
      <c r="AP11" s="376">
        <v>117000000</v>
      </c>
      <c r="AQ11" s="372">
        <v>0</v>
      </c>
      <c r="AR11" s="372">
        <v>0</v>
      </c>
      <c r="AS11" s="372">
        <v>38900000</v>
      </c>
      <c r="AT11" s="372">
        <v>60389278</v>
      </c>
      <c r="AU11" s="372">
        <v>0</v>
      </c>
      <c r="AV11" s="372"/>
      <c r="AW11" s="372">
        <v>318300000</v>
      </c>
      <c r="AX11" s="372"/>
      <c r="AY11" s="411">
        <v>77375000</v>
      </c>
      <c r="AZ11" s="372"/>
      <c r="BA11" s="372"/>
      <c r="BB11" s="373">
        <v>89300000</v>
      </c>
      <c r="BC11" s="372">
        <v>145400000</v>
      </c>
      <c r="BD11" s="372">
        <v>0</v>
      </c>
      <c r="BE11" s="372">
        <v>0</v>
      </c>
      <c r="BF11" s="372">
        <v>43400000</v>
      </c>
      <c r="BG11" s="372">
        <v>83880419</v>
      </c>
      <c r="BH11" s="372">
        <v>0</v>
      </c>
      <c r="BI11" s="372"/>
      <c r="BJ11" s="372">
        <v>366600000</v>
      </c>
      <c r="BK11" s="372"/>
      <c r="BL11" s="411">
        <v>80725000</v>
      </c>
      <c r="BM11" s="372"/>
      <c r="BN11" s="372"/>
      <c r="BO11" s="372">
        <v>112500000</v>
      </c>
      <c r="BP11" s="376">
        <v>146900000</v>
      </c>
      <c r="BQ11" s="292">
        <v>0</v>
      </c>
      <c r="BR11" s="372">
        <v>0</v>
      </c>
      <c r="BS11" s="372">
        <v>47873000</v>
      </c>
      <c r="BT11" s="372">
        <v>80052893</v>
      </c>
      <c r="BU11" s="372">
        <v>0</v>
      </c>
      <c r="BV11" s="372">
        <v>350907530</v>
      </c>
      <c r="BW11" s="372">
        <v>417699999</v>
      </c>
      <c r="BX11" s="372"/>
      <c r="BY11" s="4">
        <v>103403966.25280927</v>
      </c>
      <c r="BZ11" s="1">
        <v>0</v>
      </c>
      <c r="CA11" s="372"/>
      <c r="CB11" s="372">
        <v>119639347</v>
      </c>
      <c r="CC11" s="373">
        <v>0</v>
      </c>
    </row>
    <row r="12" spans="1:81" x14ac:dyDescent="0.3">
      <c r="A12" s="2">
        <v>9</v>
      </c>
      <c r="B12" s="7" t="s">
        <v>17</v>
      </c>
      <c r="C12" s="372">
        <v>256088080.5</v>
      </c>
      <c r="D12" s="372">
        <v>0</v>
      </c>
      <c r="E12" s="372">
        <v>0</v>
      </c>
      <c r="F12" s="372">
        <v>0</v>
      </c>
      <c r="G12" s="372"/>
      <c r="H12" s="372">
        <v>49042165</v>
      </c>
      <c r="I12" s="372"/>
      <c r="J12" s="372"/>
      <c r="K12" s="34"/>
      <c r="L12" s="375">
        <v>5411182</v>
      </c>
      <c r="M12" s="372"/>
      <c r="N12" s="372"/>
      <c r="O12" s="373">
        <v>9100000</v>
      </c>
      <c r="P12" s="376">
        <v>273678564</v>
      </c>
      <c r="Q12" s="372">
        <v>0</v>
      </c>
      <c r="R12" s="372">
        <v>62700000</v>
      </c>
      <c r="S12" s="377">
        <v>0</v>
      </c>
      <c r="T12" s="372">
        <v>81900000</v>
      </c>
      <c r="U12" s="372">
        <v>63852801</v>
      </c>
      <c r="V12" s="372"/>
      <c r="W12" s="372">
        <v>357800000</v>
      </c>
      <c r="X12" s="372"/>
      <c r="Y12" s="411">
        <v>51745241</v>
      </c>
      <c r="Z12" s="372">
        <v>93300000</v>
      </c>
      <c r="AA12" s="372"/>
      <c r="AB12" s="373">
        <v>91500000</v>
      </c>
      <c r="AC12" s="376">
        <v>314186703</v>
      </c>
      <c r="AD12" s="372">
        <v>0</v>
      </c>
      <c r="AE12" s="372">
        <v>85200000</v>
      </c>
      <c r="AF12" s="372">
        <v>5400000</v>
      </c>
      <c r="AG12" s="372">
        <v>67100000</v>
      </c>
      <c r="AH12" s="372">
        <v>69315902</v>
      </c>
      <c r="AI12" s="372"/>
      <c r="AJ12" s="372">
        <v>382612000</v>
      </c>
      <c r="AK12" s="372"/>
      <c r="AL12" s="411">
        <v>14852422</v>
      </c>
      <c r="AM12" s="372">
        <v>35640000</v>
      </c>
      <c r="AN12" s="372"/>
      <c r="AO12" s="373">
        <v>64700000</v>
      </c>
      <c r="AP12" s="376">
        <v>310129000</v>
      </c>
      <c r="AQ12" s="372">
        <v>0</v>
      </c>
      <c r="AR12" s="372">
        <v>15800000</v>
      </c>
      <c r="AS12" s="372">
        <v>3800000</v>
      </c>
      <c r="AT12" s="372">
        <v>30489000</v>
      </c>
      <c r="AU12" s="372">
        <v>76479505</v>
      </c>
      <c r="AV12" s="372"/>
      <c r="AW12" s="372">
        <v>173737000</v>
      </c>
      <c r="AX12" s="372"/>
      <c r="AY12" s="411">
        <v>45450342</v>
      </c>
      <c r="AZ12" s="372">
        <v>54179000</v>
      </c>
      <c r="BA12" s="372"/>
      <c r="BB12" s="373">
        <v>18600000</v>
      </c>
      <c r="BC12" s="372">
        <v>281926000</v>
      </c>
      <c r="BD12" s="372">
        <v>0</v>
      </c>
      <c r="BE12" s="372">
        <v>0</v>
      </c>
      <c r="BF12" s="372">
        <v>10300000</v>
      </c>
      <c r="BG12" s="372">
        <v>20300000</v>
      </c>
      <c r="BH12" s="372">
        <v>89982232</v>
      </c>
      <c r="BI12" s="372"/>
      <c r="BJ12" s="372">
        <v>0</v>
      </c>
      <c r="BK12" s="372"/>
      <c r="BL12" s="411">
        <v>20020665</v>
      </c>
      <c r="BM12" s="372"/>
      <c r="BN12" s="372"/>
      <c r="BO12" s="372">
        <v>3600000</v>
      </c>
      <c r="BP12" s="376">
        <v>278000000</v>
      </c>
      <c r="BQ12" s="292">
        <v>0</v>
      </c>
      <c r="BR12" s="372">
        <v>0</v>
      </c>
      <c r="BS12" s="372"/>
      <c r="BT12" s="372">
        <v>0</v>
      </c>
      <c r="BU12" s="372">
        <v>80100008</v>
      </c>
      <c r="BV12" s="372">
        <v>0</v>
      </c>
      <c r="BW12" s="372">
        <v>0</v>
      </c>
      <c r="BX12" s="372"/>
      <c r="BY12" s="372">
        <v>5198000</v>
      </c>
      <c r="BZ12" s="1">
        <v>0</v>
      </c>
      <c r="CA12" s="372"/>
      <c r="CB12" s="372">
        <v>12451000</v>
      </c>
      <c r="CC12" s="373">
        <v>0</v>
      </c>
    </row>
    <row r="13" spans="1:81" x14ac:dyDescent="0.3">
      <c r="A13" s="2">
        <v>10</v>
      </c>
      <c r="B13" s="7" t="s">
        <v>28</v>
      </c>
      <c r="C13" s="372">
        <f>SUM(C10:C12)</f>
        <v>1509975816.214293</v>
      </c>
      <c r="D13" s="372">
        <f t="shared" ref="D13:AY13" si="0">SUM(D10:D12)</f>
        <v>230000000</v>
      </c>
      <c r="E13" s="372">
        <f t="shared" si="0"/>
        <v>709600000</v>
      </c>
      <c r="F13" s="372">
        <v>459100000</v>
      </c>
      <c r="G13" s="372"/>
      <c r="H13" s="372">
        <f t="shared" si="0"/>
        <v>483342163</v>
      </c>
      <c r="I13" s="372"/>
      <c r="J13" s="372"/>
      <c r="K13" s="292">
        <f t="shared" si="0"/>
        <v>675495000</v>
      </c>
      <c r="L13" s="375">
        <f t="shared" si="0"/>
        <v>519396182</v>
      </c>
      <c r="M13" s="372">
        <f>SUM(M10:M12)</f>
        <v>378070000</v>
      </c>
      <c r="N13" s="372">
        <f>SUM(N10:N12)</f>
        <v>319235312</v>
      </c>
      <c r="O13" s="373">
        <f>SUM(O10:O12)</f>
        <v>292368516.193573</v>
      </c>
      <c r="P13" s="376">
        <f t="shared" si="0"/>
        <v>2549285318.8376379</v>
      </c>
      <c r="Q13" s="372">
        <f t="shared" si="0"/>
        <v>230000000</v>
      </c>
      <c r="R13" s="372">
        <f t="shared" si="0"/>
        <v>767062600</v>
      </c>
      <c r="S13" s="377">
        <v>510200000</v>
      </c>
      <c r="T13" s="372">
        <f t="shared" si="0"/>
        <v>751370445</v>
      </c>
      <c r="U13" s="372">
        <f t="shared" si="0"/>
        <v>520068784</v>
      </c>
      <c r="V13" s="372"/>
      <c r="W13" s="372">
        <f>SUM(W10:W12)</f>
        <v>1426791933</v>
      </c>
      <c r="X13" s="372">
        <f t="shared" si="0"/>
        <v>698493000</v>
      </c>
      <c r="Y13" s="411">
        <f t="shared" si="0"/>
        <v>596397229</v>
      </c>
      <c r="Z13" s="372">
        <f t="shared" si="0"/>
        <v>571601000</v>
      </c>
      <c r="AA13" s="372">
        <f t="shared" si="0"/>
        <v>393000337</v>
      </c>
      <c r="AB13" s="373">
        <f t="shared" si="0"/>
        <v>435822951.19461805</v>
      </c>
      <c r="AC13" s="376">
        <f t="shared" si="0"/>
        <v>2710362065.9699669</v>
      </c>
      <c r="AD13" s="372">
        <f t="shared" si="0"/>
        <v>235000000</v>
      </c>
      <c r="AE13" s="372">
        <f t="shared" si="0"/>
        <v>785312334</v>
      </c>
      <c r="AF13" s="372">
        <v>465700000</v>
      </c>
      <c r="AG13" s="372">
        <f t="shared" si="0"/>
        <v>736083294</v>
      </c>
      <c r="AH13" s="372">
        <f t="shared" si="0"/>
        <v>531415902</v>
      </c>
      <c r="AI13" s="372"/>
      <c r="AJ13" s="372">
        <f t="shared" si="0"/>
        <v>1692753594</v>
      </c>
      <c r="AK13" s="372">
        <f t="shared" si="0"/>
        <v>709697000</v>
      </c>
      <c r="AL13" s="411">
        <f t="shared" si="0"/>
        <v>897940357</v>
      </c>
      <c r="AM13" s="372">
        <f t="shared" si="0"/>
        <v>460118000</v>
      </c>
      <c r="AN13" s="372">
        <f t="shared" si="0"/>
        <v>411593365</v>
      </c>
      <c r="AO13" s="373">
        <f t="shared" si="0"/>
        <v>436586236.39111197</v>
      </c>
      <c r="AP13" s="376">
        <f t="shared" si="0"/>
        <v>2471500892.3993344</v>
      </c>
      <c r="AQ13" s="372">
        <f t="shared" si="0"/>
        <v>280000000</v>
      </c>
      <c r="AR13" s="372">
        <f t="shared" si="0"/>
        <v>820284013</v>
      </c>
      <c r="AS13" s="372">
        <v>528200000</v>
      </c>
      <c r="AT13" s="372">
        <f t="shared" si="0"/>
        <v>732323000</v>
      </c>
      <c r="AU13" s="372">
        <f t="shared" si="0"/>
        <v>548742505</v>
      </c>
      <c r="AV13" s="372"/>
      <c r="AW13" s="372">
        <f>SUM(AW10:AW12)</f>
        <v>1609970100</v>
      </c>
      <c r="AX13" s="372">
        <f t="shared" si="0"/>
        <v>719568000</v>
      </c>
      <c r="AY13" s="411">
        <f t="shared" si="0"/>
        <v>612052647</v>
      </c>
      <c r="AZ13" s="372">
        <f>SUM(AZ10:AZ12)</f>
        <v>519801000</v>
      </c>
      <c r="BA13" s="372">
        <f>SUM(BA10:BA12)</f>
        <v>384284675</v>
      </c>
      <c r="BB13" s="373"/>
      <c r="BC13" s="372">
        <f t="shared" ref="BC13:BM13" si="1">SUM(BC10:BC12)</f>
        <v>2678978611.3197069</v>
      </c>
      <c r="BD13" s="372">
        <f t="shared" si="1"/>
        <v>280000000</v>
      </c>
      <c r="BE13" s="372">
        <f t="shared" si="1"/>
        <v>857528458</v>
      </c>
      <c r="BF13" s="372">
        <v>612100000</v>
      </c>
      <c r="BG13" s="372">
        <f t="shared" si="1"/>
        <v>756543218</v>
      </c>
      <c r="BH13" s="372">
        <f t="shared" si="1"/>
        <v>670882232</v>
      </c>
      <c r="BI13" s="372"/>
      <c r="BJ13" s="372">
        <f>SUM(BJ10:BJ12)</f>
        <v>1600792195</v>
      </c>
      <c r="BK13" s="372">
        <f t="shared" si="1"/>
        <v>850789000</v>
      </c>
      <c r="BL13" s="411">
        <f t="shared" si="1"/>
        <v>665107666</v>
      </c>
      <c r="BM13" s="372">
        <f t="shared" si="1"/>
        <v>472962282.57999998</v>
      </c>
      <c r="BN13" s="372">
        <f>SUM(BN10:BN12)</f>
        <v>443703668</v>
      </c>
      <c r="BO13" s="372">
        <f>SUM(BO10:BO12)</f>
        <v>552596812.38519704</v>
      </c>
      <c r="BP13" s="376"/>
      <c r="BQ13" s="372"/>
      <c r="BR13" s="372"/>
      <c r="BS13" s="372"/>
      <c r="BT13" s="372"/>
      <c r="BU13" s="372"/>
      <c r="BV13" s="372"/>
      <c r="BW13" s="372"/>
      <c r="BX13" s="372"/>
      <c r="BY13" s="372"/>
      <c r="BZ13" s="372"/>
      <c r="CA13" s="372"/>
      <c r="CB13" s="372"/>
      <c r="CC13" s="373">
        <f>SUM(CC10:CC12)</f>
        <v>449462270</v>
      </c>
    </row>
    <row r="14" spans="1:81" x14ac:dyDescent="0.3">
      <c r="A14" s="96">
        <v>11</v>
      </c>
      <c r="B14" s="8" t="s">
        <v>18</v>
      </c>
      <c r="C14" s="372">
        <v>1919654463.1557207</v>
      </c>
      <c r="D14" s="372">
        <v>0</v>
      </c>
      <c r="E14" s="372">
        <v>262899999.99999997</v>
      </c>
      <c r="F14" s="372">
        <v>153200000</v>
      </c>
      <c r="G14" s="372"/>
      <c r="H14" s="372">
        <v>191542654</v>
      </c>
      <c r="I14" s="372"/>
      <c r="J14" s="372"/>
      <c r="K14" s="34">
        <v>469263941.07142854</v>
      </c>
      <c r="L14" s="372">
        <v>196466052</v>
      </c>
      <c r="M14" s="372">
        <v>250847580</v>
      </c>
      <c r="N14" s="378">
        <v>181757952</v>
      </c>
      <c r="O14" s="373">
        <v>241575000</v>
      </c>
      <c r="P14" s="376">
        <v>1201617737.6712289</v>
      </c>
      <c r="Q14" s="372">
        <v>0</v>
      </c>
      <c r="R14" s="372">
        <v>194400000</v>
      </c>
      <c r="S14" s="377">
        <v>114500000</v>
      </c>
      <c r="T14" s="372">
        <v>155599356.1111111</v>
      </c>
      <c r="U14" s="372">
        <v>93815239</v>
      </c>
      <c r="V14" s="372"/>
      <c r="W14" s="372">
        <v>546476351</v>
      </c>
      <c r="X14" s="372">
        <v>297476395.53571427</v>
      </c>
      <c r="Y14" s="411">
        <v>154917438</v>
      </c>
      <c r="Z14" s="372">
        <v>163455017</v>
      </c>
      <c r="AA14" s="378">
        <v>116334517</v>
      </c>
      <c r="AB14" s="373">
        <v>173099000</v>
      </c>
      <c r="AC14" s="376">
        <v>1203162164.7814217</v>
      </c>
      <c r="AD14" s="372"/>
      <c r="AE14" s="372">
        <v>223405300</v>
      </c>
      <c r="AF14" s="372">
        <v>139200000</v>
      </c>
      <c r="AG14" s="372">
        <v>182744147.3255814</v>
      </c>
      <c r="AH14" s="372">
        <v>106252639</v>
      </c>
      <c r="AI14" s="372"/>
      <c r="AJ14" s="372">
        <v>617526194</v>
      </c>
      <c r="AK14" s="372">
        <v>288046549.10714281</v>
      </c>
      <c r="AL14" s="411">
        <v>165810684</v>
      </c>
      <c r="AM14" s="372">
        <v>188969631</v>
      </c>
      <c r="AN14" s="372">
        <v>127883247</v>
      </c>
      <c r="AO14" s="373">
        <v>169200000</v>
      </c>
      <c r="AP14" s="376">
        <v>1709226080.1612437</v>
      </c>
      <c r="AQ14" s="372"/>
      <c r="AR14" s="372">
        <v>273777503</v>
      </c>
      <c r="AS14" s="372">
        <v>179800000</v>
      </c>
      <c r="AT14" s="372">
        <v>221133746.64285713</v>
      </c>
      <c r="AU14" s="372">
        <v>163256985</v>
      </c>
      <c r="AV14" s="372"/>
      <c r="AW14" s="372">
        <v>754249713</v>
      </c>
      <c r="AX14" s="372">
        <v>444297596.4285714</v>
      </c>
      <c r="AY14" s="411">
        <v>191754722</v>
      </c>
      <c r="AZ14" s="372">
        <v>207515538</v>
      </c>
      <c r="BA14" s="372">
        <v>162443986</v>
      </c>
      <c r="BB14" s="373">
        <v>210598000</v>
      </c>
      <c r="BC14" s="372">
        <v>1999474470.2956238</v>
      </c>
      <c r="BD14" s="372">
        <v>12500000</v>
      </c>
      <c r="BE14" s="372">
        <v>301899397</v>
      </c>
      <c r="BF14" s="372">
        <v>195800000</v>
      </c>
      <c r="BG14" s="372">
        <v>244585325.35714284</v>
      </c>
      <c r="BH14" s="372">
        <v>184546987</v>
      </c>
      <c r="BI14" s="372"/>
      <c r="BJ14" s="372">
        <v>807289329</v>
      </c>
      <c r="BK14" s="372">
        <v>532748398.21428567</v>
      </c>
      <c r="BL14" s="411">
        <v>215630910</v>
      </c>
      <c r="BM14" s="372">
        <v>238674308</v>
      </c>
      <c r="BN14" s="372">
        <v>186327887</v>
      </c>
      <c r="BO14" s="372">
        <v>259116000</v>
      </c>
      <c r="BP14" s="376">
        <v>2079538248.92609</v>
      </c>
      <c r="BQ14" s="292">
        <v>65625584</v>
      </c>
      <c r="BR14" s="372">
        <v>327592492</v>
      </c>
      <c r="BS14" s="372">
        <v>198100000</v>
      </c>
      <c r="BT14" s="413">
        <v>95788151.321428567</v>
      </c>
      <c r="BU14" s="372">
        <v>196883254</v>
      </c>
      <c r="BV14" s="372">
        <v>552856489</v>
      </c>
      <c r="BW14" s="372">
        <v>884414287.50999975</v>
      </c>
      <c r="BX14" s="411">
        <v>720392683</v>
      </c>
      <c r="BY14" s="372">
        <v>221723429.35714287</v>
      </c>
      <c r="BZ14" s="372">
        <v>251162598</v>
      </c>
      <c r="CA14" s="411">
        <v>181753854</v>
      </c>
      <c r="CB14" s="372">
        <v>271827000</v>
      </c>
      <c r="CC14" s="373">
        <v>185261113</v>
      </c>
    </row>
    <row r="15" spans="1:81" x14ac:dyDescent="0.3">
      <c r="A15" s="96">
        <v>12</v>
      </c>
      <c r="B15" s="7" t="s">
        <v>19</v>
      </c>
      <c r="C15" s="372">
        <v>3489014279.3700137</v>
      </c>
      <c r="D15" s="372">
        <v>231000616</v>
      </c>
      <c r="E15" s="372">
        <v>942500000</v>
      </c>
      <c r="F15" s="372">
        <v>562400000</v>
      </c>
      <c r="G15" s="372"/>
      <c r="H15" s="372">
        <v>750205967</v>
      </c>
      <c r="I15" s="372"/>
      <c r="J15" s="372"/>
      <c r="K15" s="34">
        <v>1144655322</v>
      </c>
      <c r="L15" s="42">
        <v>661215494</v>
      </c>
      <c r="M15" s="372">
        <v>636324584</v>
      </c>
      <c r="N15" s="372">
        <v>504027736</v>
      </c>
      <c r="O15" s="373">
        <v>587387516.193573</v>
      </c>
      <c r="P15" s="376">
        <v>3789849456.7734113</v>
      </c>
      <c r="Q15" s="372">
        <v>229713355</v>
      </c>
      <c r="R15" s="372">
        <v>920000000</v>
      </c>
      <c r="S15" s="377">
        <v>573000000</v>
      </c>
      <c r="T15" s="372">
        <v>837579379.44444442</v>
      </c>
      <c r="U15" s="372">
        <v>718316914</v>
      </c>
      <c r="V15" s="372"/>
      <c r="W15" s="372">
        <v>2321934378</v>
      </c>
      <c r="X15" s="372">
        <v>1326681893</v>
      </c>
      <c r="Y15" s="411">
        <v>689452956</v>
      </c>
      <c r="Z15" s="372">
        <v>613521080</v>
      </c>
      <c r="AA15" s="372">
        <v>503258593</v>
      </c>
      <c r="AB15" s="373">
        <v>663322951.19461799</v>
      </c>
      <c r="AC15" s="376">
        <v>3979700548.011642</v>
      </c>
      <c r="AD15" s="372">
        <v>235507166</v>
      </c>
      <c r="AE15" s="372">
        <v>973373577</v>
      </c>
      <c r="AF15" s="372">
        <v>556600000</v>
      </c>
      <c r="AG15" s="372">
        <v>868931773.9069767</v>
      </c>
      <c r="AH15" s="372">
        <v>732934566</v>
      </c>
      <c r="AI15" s="372"/>
      <c r="AJ15" s="372">
        <v>2326926942</v>
      </c>
      <c r="AK15" s="372">
        <v>1226246682</v>
      </c>
      <c r="AL15" s="411">
        <v>706862000</v>
      </c>
      <c r="AM15" s="372">
        <v>634789065</v>
      </c>
      <c r="AN15" s="372">
        <v>536800881</v>
      </c>
      <c r="AO15" s="373">
        <v>659735236.39111209</v>
      </c>
      <c r="AP15" s="376">
        <v>4239924878.8724942</v>
      </c>
      <c r="AQ15" s="372">
        <v>280597262</v>
      </c>
      <c r="AR15" s="372">
        <v>1016969187</v>
      </c>
      <c r="AS15" s="372">
        <v>663200000</v>
      </c>
      <c r="AT15" s="372">
        <v>918000460.32142854</v>
      </c>
      <c r="AU15" s="372">
        <v>817981706</v>
      </c>
      <c r="AV15" s="372"/>
      <c r="AW15" s="372">
        <v>2336882677</v>
      </c>
      <c r="AX15" s="372">
        <v>1413676387</v>
      </c>
      <c r="AY15" s="411">
        <v>744912279</v>
      </c>
      <c r="AZ15" s="372">
        <v>679857473</v>
      </c>
      <c r="BA15" s="372">
        <v>587191428</v>
      </c>
      <c r="BB15" s="373">
        <v>713884127.62302303</v>
      </c>
      <c r="BC15" s="372">
        <v>4730482107.5007524</v>
      </c>
      <c r="BD15" s="372">
        <v>287585757</v>
      </c>
      <c r="BE15" s="372">
        <v>1110715077</v>
      </c>
      <c r="BF15" s="372">
        <v>769700000</v>
      </c>
      <c r="BG15" s="372">
        <v>1003885786.6071428</v>
      </c>
      <c r="BH15" s="372">
        <v>912333684</v>
      </c>
      <c r="BI15" s="372"/>
      <c r="BJ15" s="372">
        <v>2583992509</v>
      </c>
      <c r="BK15" s="372">
        <v>1519459391</v>
      </c>
      <c r="BL15" s="411">
        <v>785691511</v>
      </c>
      <c r="BM15" s="372">
        <v>727308324</v>
      </c>
      <c r="BN15" s="372">
        <v>657634257</v>
      </c>
      <c r="BO15" s="372">
        <v>821019812.38519704</v>
      </c>
      <c r="BP15" s="376">
        <v>4778543108.5040503</v>
      </c>
      <c r="BQ15" s="292" t="s">
        <v>210</v>
      </c>
      <c r="BR15" s="372">
        <v>1172715578</v>
      </c>
      <c r="BS15" s="372">
        <v>743100000</v>
      </c>
      <c r="BT15" s="413">
        <v>439276563</v>
      </c>
      <c r="BU15" s="372">
        <v>916247965</v>
      </c>
      <c r="BV15" s="372">
        <v>2220647416</v>
      </c>
      <c r="BW15" s="372">
        <v>2749032973</v>
      </c>
      <c r="BX15" s="372">
        <v>1618054702</v>
      </c>
      <c r="BY15" s="372">
        <v>1030848279.8622639</v>
      </c>
      <c r="BZ15" s="372">
        <v>788182368</v>
      </c>
      <c r="CA15" s="372">
        <v>681676779</v>
      </c>
      <c r="CB15" s="372">
        <v>886026355</v>
      </c>
      <c r="CC15" s="373">
        <v>615828991</v>
      </c>
    </row>
    <row r="16" spans="1:81" x14ac:dyDescent="0.3">
      <c r="A16" s="96">
        <v>13</v>
      </c>
      <c r="B16" s="9" t="s">
        <v>20</v>
      </c>
      <c r="C16" s="372">
        <v>0</v>
      </c>
      <c r="D16" s="372">
        <v>0</v>
      </c>
      <c r="E16" s="372">
        <v>109800000</v>
      </c>
      <c r="F16" s="372">
        <v>49900000</v>
      </c>
      <c r="G16" s="372"/>
      <c r="H16" s="372">
        <v>5290</v>
      </c>
      <c r="I16" s="372"/>
      <c r="J16" s="372"/>
      <c r="K16" s="34">
        <v>51896000</v>
      </c>
      <c r="L16" s="379">
        <v>229</v>
      </c>
      <c r="M16" s="372">
        <v>4313277.92</v>
      </c>
      <c r="N16" s="1"/>
      <c r="O16" s="373">
        <v>0</v>
      </c>
      <c r="P16" s="376">
        <v>0</v>
      </c>
      <c r="Q16" s="372">
        <v>0</v>
      </c>
      <c r="R16" s="372">
        <v>77400000</v>
      </c>
      <c r="S16" s="377">
        <v>51700000</v>
      </c>
      <c r="T16" s="372">
        <v>37622196</v>
      </c>
      <c r="U16" s="372">
        <v>2262</v>
      </c>
      <c r="V16" s="372"/>
      <c r="W16" s="372">
        <v>153141006</v>
      </c>
      <c r="X16" s="372">
        <v>55329000</v>
      </c>
      <c r="Y16" s="411">
        <v>119202</v>
      </c>
      <c r="Z16" s="372">
        <v>8634265</v>
      </c>
      <c r="AA16" s="372"/>
      <c r="AB16" s="373">
        <v>0</v>
      </c>
      <c r="AC16" s="376">
        <v>0</v>
      </c>
      <c r="AD16" s="372">
        <v>0</v>
      </c>
      <c r="AE16" s="372">
        <v>85778052</v>
      </c>
      <c r="AF16" s="372">
        <v>48300000</v>
      </c>
      <c r="AG16" s="372">
        <v>42462486</v>
      </c>
      <c r="AH16" s="372">
        <v>342</v>
      </c>
      <c r="AI16" s="372"/>
      <c r="AJ16" s="372">
        <v>175416531</v>
      </c>
      <c r="AK16" s="372">
        <v>86913000</v>
      </c>
      <c r="AL16" s="411">
        <v>22585888.449999999</v>
      </c>
      <c r="AM16" s="372">
        <v>5298198</v>
      </c>
      <c r="AN16" s="372"/>
      <c r="AO16" s="373">
        <v>0</v>
      </c>
      <c r="AP16" s="376">
        <v>0</v>
      </c>
      <c r="AQ16" s="372">
        <v>0</v>
      </c>
      <c r="AR16" s="372">
        <v>92859672</v>
      </c>
      <c r="AS16" s="372">
        <v>44800000</v>
      </c>
      <c r="AT16" s="372">
        <v>43891815</v>
      </c>
      <c r="AU16" s="372">
        <v>6584</v>
      </c>
      <c r="AV16" s="372"/>
      <c r="AW16" s="372">
        <v>194404750</v>
      </c>
      <c r="AX16" s="372">
        <v>111208000</v>
      </c>
      <c r="AY16" s="411">
        <v>15470</v>
      </c>
      <c r="AZ16" s="372">
        <v>7762466</v>
      </c>
      <c r="BA16" s="372"/>
      <c r="BB16" s="373">
        <v>0</v>
      </c>
      <c r="BC16" s="372">
        <v>0</v>
      </c>
      <c r="BD16" s="372">
        <v>0</v>
      </c>
      <c r="BE16" s="372">
        <v>86124846</v>
      </c>
      <c r="BF16" s="372">
        <v>38200000</v>
      </c>
      <c r="BG16" s="372">
        <v>56420115</v>
      </c>
      <c r="BH16" s="372">
        <v>5946</v>
      </c>
      <c r="BI16" s="372"/>
      <c r="BJ16" s="372">
        <v>219920609</v>
      </c>
      <c r="BK16" s="372">
        <v>155831000</v>
      </c>
      <c r="BL16" s="411">
        <v>169403</v>
      </c>
      <c r="BM16" s="372">
        <v>7683800</v>
      </c>
      <c r="BN16" s="372"/>
      <c r="BO16" s="372">
        <v>0</v>
      </c>
      <c r="BP16" s="376">
        <v>0</v>
      </c>
      <c r="BQ16" s="292" t="s">
        <v>210</v>
      </c>
      <c r="BR16" s="372">
        <v>74669459</v>
      </c>
      <c r="BS16" s="372">
        <v>40600000</v>
      </c>
      <c r="BT16" s="413">
        <v>38069041</v>
      </c>
      <c r="BU16" s="372">
        <v>4619</v>
      </c>
      <c r="BV16" s="372">
        <v>159615601</v>
      </c>
      <c r="BW16" s="372">
        <v>242263474</v>
      </c>
      <c r="BX16" s="372">
        <v>174792311</v>
      </c>
      <c r="BY16" s="372">
        <v>88747560.024079949</v>
      </c>
      <c r="BZ16" s="372">
        <v>13611891</v>
      </c>
      <c r="CA16" s="372"/>
      <c r="CB16" s="372">
        <v>0</v>
      </c>
      <c r="CC16" s="373">
        <v>37370791</v>
      </c>
    </row>
    <row r="17" spans="1:81" x14ac:dyDescent="0.3">
      <c r="A17" s="96">
        <v>14</v>
      </c>
      <c r="B17" s="9" t="s">
        <v>21</v>
      </c>
      <c r="C17" s="372">
        <v>3489014279.3700099</v>
      </c>
      <c r="D17" s="372">
        <v>231000616</v>
      </c>
      <c r="E17" s="372">
        <v>1052300000</v>
      </c>
      <c r="F17" s="372">
        <v>612300000</v>
      </c>
      <c r="G17" s="372"/>
      <c r="H17" s="372">
        <v>750211257</v>
      </c>
      <c r="I17" s="372"/>
      <c r="J17" s="372"/>
      <c r="K17" s="34">
        <v>1196551322</v>
      </c>
      <c r="L17" s="42">
        <v>661215723</v>
      </c>
      <c r="M17" s="372">
        <v>640637861.91999996</v>
      </c>
      <c r="N17" s="372">
        <f>SUM(N15:N16)</f>
        <v>504027736</v>
      </c>
      <c r="O17" s="373">
        <v>587387516.193573</v>
      </c>
      <c r="P17" s="376">
        <v>3789849456.7734113</v>
      </c>
      <c r="Q17" s="372">
        <v>229713355</v>
      </c>
      <c r="R17" s="372">
        <v>997400000</v>
      </c>
      <c r="S17" s="377">
        <v>624700000</v>
      </c>
      <c r="T17" s="372">
        <v>875201575.44444442</v>
      </c>
      <c r="U17" s="372">
        <v>718319176</v>
      </c>
      <c r="V17" s="372"/>
      <c r="W17" s="372">
        <v>2475075384</v>
      </c>
      <c r="X17" s="372">
        <v>1382010893</v>
      </c>
      <c r="Y17" s="411">
        <v>689572158</v>
      </c>
      <c r="Z17" s="372">
        <v>622155345</v>
      </c>
      <c r="AA17" s="372">
        <f>SUM(AA15:AA16)</f>
        <v>503258593</v>
      </c>
      <c r="AB17" s="373">
        <v>663322951.19461799</v>
      </c>
      <c r="AC17" s="376">
        <v>3979700548.011642</v>
      </c>
      <c r="AD17" s="372">
        <v>235507166</v>
      </c>
      <c r="AE17" s="372">
        <v>1059151629</v>
      </c>
      <c r="AF17" s="372">
        <v>604900000</v>
      </c>
      <c r="AG17" s="372">
        <v>911394259.9069767</v>
      </c>
      <c r="AH17" s="372">
        <v>732934908</v>
      </c>
      <c r="AI17" s="372"/>
      <c r="AJ17" s="372">
        <v>2502343473</v>
      </c>
      <c r="AK17" s="372">
        <v>1313159682</v>
      </c>
      <c r="AL17" s="411">
        <v>729447888.45000005</v>
      </c>
      <c r="AM17" s="372">
        <v>640087263</v>
      </c>
      <c r="AN17" s="372">
        <f>SUM(AN15:AN16)</f>
        <v>536800881</v>
      </c>
      <c r="AO17" s="373">
        <v>659735236.39111209</v>
      </c>
      <c r="AP17" s="376">
        <v>4239924878.8724942</v>
      </c>
      <c r="AQ17" s="372">
        <v>280597262</v>
      </c>
      <c r="AR17" s="372">
        <v>1109828859</v>
      </c>
      <c r="AS17" s="372">
        <v>708000000</v>
      </c>
      <c r="AT17" s="372">
        <v>961892275.32142854</v>
      </c>
      <c r="AU17" s="372">
        <v>817988290</v>
      </c>
      <c r="AV17" s="372"/>
      <c r="AW17" s="372">
        <v>2531287427</v>
      </c>
      <c r="AX17" s="372">
        <v>1524884387</v>
      </c>
      <c r="AY17" s="372">
        <v>744927749</v>
      </c>
      <c r="AZ17" s="372">
        <v>687619939</v>
      </c>
      <c r="BA17" s="372">
        <f>SUM(BA15:BA16)</f>
        <v>587191428</v>
      </c>
      <c r="BB17" s="373">
        <v>713884127.62302303</v>
      </c>
      <c r="BC17" s="372">
        <v>4730482107.5007524</v>
      </c>
      <c r="BD17" s="372">
        <v>287585757</v>
      </c>
      <c r="BE17" s="372">
        <v>1196839923</v>
      </c>
      <c r="BF17" s="372">
        <v>807900000.00000012</v>
      </c>
      <c r="BG17" s="372">
        <v>1060305901.6071428</v>
      </c>
      <c r="BH17" s="372">
        <v>912339630</v>
      </c>
      <c r="BI17" s="372"/>
      <c r="BJ17" s="372">
        <v>2803913118</v>
      </c>
      <c r="BK17" s="372">
        <v>1675290391</v>
      </c>
      <c r="BL17" s="411">
        <v>785860914</v>
      </c>
      <c r="BM17" s="372">
        <v>734992124</v>
      </c>
      <c r="BN17" s="372">
        <f>SUM(BN15:BN16)</f>
        <v>657634257</v>
      </c>
      <c r="BO17" s="372">
        <v>821019812.38519704</v>
      </c>
      <c r="BP17" s="376">
        <v>4778543108.5040503</v>
      </c>
      <c r="BQ17" s="372">
        <f>BQ10+BQ14</f>
        <v>333055014</v>
      </c>
      <c r="BR17" s="372">
        <v>1247385037</v>
      </c>
      <c r="BS17" s="372">
        <v>823800000</v>
      </c>
      <c r="BT17" s="413">
        <v>477345604</v>
      </c>
      <c r="BU17" s="372">
        <v>916252584</v>
      </c>
      <c r="BV17" s="372">
        <v>2380263017</v>
      </c>
      <c r="BW17" s="372">
        <v>2991296447</v>
      </c>
      <c r="BX17" s="372">
        <v>1792847013</v>
      </c>
      <c r="BY17" s="372">
        <v>1119595839.886344</v>
      </c>
      <c r="BZ17" s="372">
        <v>801794259</v>
      </c>
      <c r="CA17" s="372">
        <v>681676779</v>
      </c>
      <c r="CB17" s="372">
        <v>886026355</v>
      </c>
      <c r="CC17" s="373">
        <v>653199782</v>
      </c>
    </row>
    <row r="18" spans="1:81" s="224" customFormat="1" x14ac:dyDescent="0.3">
      <c r="A18" s="224">
        <v>15</v>
      </c>
      <c r="B18" s="225" t="s">
        <v>84</v>
      </c>
      <c r="C18" s="380">
        <f>SUM(C19:C25)</f>
        <v>1203</v>
      </c>
      <c r="D18" s="380">
        <v>133</v>
      </c>
      <c r="E18" s="380" t="s">
        <v>98</v>
      </c>
      <c r="F18" s="380">
        <v>266</v>
      </c>
      <c r="G18" s="380"/>
      <c r="H18" s="380">
        <v>313</v>
      </c>
      <c r="I18" s="380">
        <f>SUM(I19:I25)</f>
        <v>438</v>
      </c>
      <c r="J18" s="380"/>
      <c r="K18" s="381">
        <f>SUM(K19:K29)</f>
        <v>615</v>
      </c>
      <c r="L18" s="381">
        <f>SUM(L19:L25)</f>
        <v>435</v>
      </c>
      <c r="M18" s="108">
        <v>318</v>
      </c>
      <c r="N18" s="382" t="s">
        <v>98</v>
      </c>
      <c r="O18" s="383" t="s">
        <v>97</v>
      </c>
      <c r="P18" s="384">
        <f>P19+P20+P25</f>
        <v>1251</v>
      </c>
      <c r="Q18" s="380">
        <v>133</v>
      </c>
      <c r="R18" s="380">
        <f>SUM(R19:R25)</f>
        <v>594</v>
      </c>
      <c r="S18" s="380">
        <v>274</v>
      </c>
      <c r="T18" s="380">
        <f>T19+T20+T25</f>
        <v>276</v>
      </c>
      <c r="U18" s="380">
        <f>SUM(U19:U25)</f>
        <v>333</v>
      </c>
      <c r="V18" s="380">
        <f>SUM(V19:V25)</f>
        <v>491</v>
      </c>
      <c r="W18" s="380">
        <v>1009</v>
      </c>
      <c r="X18" s="380">
        <f>SUM(X19:X29)</f>
        <v>615</v>
      </c>
      <c r="Y18" s="380">
        <f>SUM(Y19:Y29)</f>
        <v>449</v>
      </c>
      <c r="Z18" s="380">
        <v>318</v>
      </c>
      <c r="AA18" s="380"/>
      <c r="AB18" s="385"/>
      <c r="AC18" s="384">
        <f>SUM(AC19:AC25)</f>
        <v>1236</v>
      </c>
      <c r="AD18" s="380">
        <v>133</v>
      </c>
      <c r="AE18" s="380">
        <f>SUM(AE19:AE25)</f>
        <v>600</v>
      </c>
      <c r="AF18" s="380">
        <v>289</v>
      </c>
      <c r="AG18" s="380">
        <f>AG19+AG20+AG25</f>
        <v>276</v>
      </c>
      <c r="AH18" s="380">
        <f>SUM(AH19:AH25)</f>
        <v>327</v>
      </c>
      <c r="AI18" s="380">
        <f>SUM(AI19:AI25)</f>
        <v>483</v>
      </c>
      <c r="AJ18" s="380">
        <f>AJ20+AJ25</f>
        <v>1106</v>
      </c>
      <c r="AK18" s="380">
        <f>SUM(AK19:AK25)</f>
        <v>834</v>
      </c>
      <c r="AL18" s="380">
        <f>SUM(AL19:AL25)</f>
        <v>428</v>
      </c>
      <c r="AM18" s="380">
        <f>SUM(AM19:AM25)</f>
        <v>329</v>
      </c>
      <c r="AN18" s="380"/>
      <c r="AO18" s="385"/>
      <c r="AP18" s="386">
        <f>SUM(AP19:AP25)</f>
        <v>1272</v>
      </c>
      <c r="AQ18" s="387">
        <v>133</v>
      </c>
      <c r="AR18" s="387">
        <f t="shared" ref="AR18:AZ18" si="2">SUM(AR19:AR25)</f>
        <v>590</v>
      </c>
      <c r="AS18" s="387">
        <f t="shared" si="2"/>
        <v>329</v>
      </c>
      <c r="AT18" s="387">
        <f t="shared" si="2"/>
        <v>277</v>
      </c>
      <c r="AU18" s="387">
        <f t="shared" si="2"/>
        <v>320</v>
      </c>
      <c r="AV18" s="387">
        <f t="shared" si="2"/>
        <v>480</v>
      </c>
      <c r="AW18" s="387">
        <f t="shared" si="2"/>
        <v>1079</v>
      </c>
      <c r="AX18" s="387">
        <f t="shared" si="2"/>
        <v>833</v>
      </c>
      <c r="AY18" s="387">
        <f t="shared" si="2"/>
        <v>438</v>
      </c>
      <c r="AZ18" s="387">
        <f t="shared" si="2"/>
        <v>325</v>
      </c>
      <c r="BA18" s="380"/>
      <c r="BB18" s="385"/>
      <c r="BC18" s="380">
        <f t="shared" ref="BC18:BM18" si="3">SUM(BC19:BC25)</f>
        <v>1289</v>
      </c>
      <c r="BD18" s="380">
        <f t="shared" si="3"/>
        <v>170</v>
      </c>
      <c r="BE18" s="380">
        <f t="shared" si="3"/>
        <v>590</v>
      </c>
      <c r="BF18" s="380">
        <f t="shared" si="3"/>
        <v>532</v>
      </c>
      <c r="BG18" s="380">
        <f t="shared" si="3"/>
        <v>281</v>
      </c>
      <c r="BH18" s="380">
        <f t="shared" si="3"/>
        <v>322</v>
      </c>
      <c r="BI18" s="380">
        <f t="shared" si="3"/>
        <v>480</v>
      </c>
      <c r="BJ18" s="380">
        <f t="shared" si="3"/>
        <v>1138</v>
      </c>
      <c r="BK18" s="380">
        <f t="shared" si="3"/>
        <v>834</v>
      </c>
      <c r="BL18" s="380">
        <f t="shared" si="3"/>
        <v>438</v>
      </c>
      <c r="BM18" s="380">
        <f t="shared" si="3"/>
        <v>341</v>
      </c>
      <c r="BN18" s="380"/>
      <c r="BO18" s="380"/>
      <c r="BP18" s="384"/>
      <c r="BQ18" s="380"/>
      <c r="BR18" s="380"/>
      <c r="BS18" s="380"/>
      <c r="BT18" s="380"/>
      <c r="BU18" s="380"/>
      <c r="BV18" s="380"/>
      <c r="BW18" s="380"/>
      <c r="BX18" s="380"/>
      <c r="BY18" s="4"/>
      <c r="BZ18" s="380"/>
      <c r="CA18" s="380"/>
      <c r="CB18" s="380"/>
      <c r="CC18" s="385"/>
    </row>
    <row r="19" spans="1:81" ht="13" x14ac:dyDescent="0.3">
      <c r="A19" s="96">
        <v>16</v>
      </c>
      <c r="B19" s="9" t="s">
        <v>85</v>
      </c>
      <c r="C19" s="372">
        <v>317</v>
      </c>
      <c r="D19" s="372">
        <v>28</v>
      </c>
      <c r="E19" s="1"/>
      <c r="F19" s="372">
        <v>177</v>
      </c>
      <c r="G19" s="372"/>
      <c r="H19" s="372">
        <v>146</v>
      </c>
      <c r="I19" s="372">
        <v>49</v>
      </c>
      <c r="J19" s="372"/>
      <c r="K19" s="292"/>
      <c r="L19" s="4">
        <v>60</v>
      </c>
      <c r="M19" s="1"/>
      <c r="N19" s="29"/>
      <c r="O19" s="388"/>
      <c r="P19" s="376">
        <v>97</v>
      </c>
      <c r="Q19" s="372">
        <v>28</v>
      </c>
      <c r="R19" s="372">
        <v>172</v>
      </c>
      <c r="S19" s="389">
        <v>98</v>
      </c>
      <c r="T19" s="372">
        <v>28</v>
      </c>
      <c r="U19" s="372">
        <v>146</v>
      </c>
      <c r="V19" s="372">
        <v>19</v>
      </c>
      <c r="W19" s="372"/>
      <c r="X19" s="372"/>
      <c r="Y19" s="1">
        <v>71</v>
      </c>
      <c r="Z19" s="372"/>
      <c r="AA19" s="372"/>
      <c r="AB19" s="373"/>
      <c r="AC19" s="376">
        <v>91</v>
      </c>
      <c r="AD19" s="390">
        <v>28</v>
      </c>
      <c r="AE19" s="372">
        <v>138</v>
      </c>
      <c r="AF19" s="372">
        <v>78</v>
      </c>
      <c r="AG19" s="372">
        <v>28</v>
      </c>
      <c r="AH19" s="372">
        <v>80</v>
      </c>
      <c r="AI19" s="372">
        <v>0</v>
      </c>
      <c r="AJ19" s="372"/>
      <c r="AK19" s="2">
        <v>30</v>
      </c>
      <c r="AL19" s="372">
        <v>56</v>
      </c>
      <c r="AM19" s="372"/>
      <c r="AN19" s="372"/>
      <c r="AO19" s="373"/>
      <c r="AP19" s="33">
        <v>22</v>
      </c>
      <c r="AQ19" s="372">
        <v>28</v>
      </c>
      <c r="AR19" s="372">
        <v>126</v>
      </c>
      <c r="AS19" s="372">
        <v>208</v>
      </c>
      <c r="AT19" s="372">
        <v>28</v>
      </c>
      <c r="AU19" s="372">
        <v>76</v>
      </c>
      <c r="AV19" s="372">
        <v>0</v>
      </c>
      <c r="AW19" s="372"/>
      <c r="AX19" s="2">
        <v>30</v>
      </c>
      <c r="AY19" s="2">
        <v>19</v>
      </c>
      <c r="AZ19" s="372"/>
      <c r="BA19" s="372"/>
      <c r="BB19" s="373"/>
      <c r="BC19" s="372">
        <v>26</v>
      </c>
      <c r="BD19" s="372">
        <v>0</v>
      </c>
      <c r="BE19" s="391">
        <v>126</v>
      </c>
      <c r="BF19" s="372">
        <v>122</v>
      </c>
      <c r="BG19" s="372">
        <v>27</v>
      </c>
      <c r="BH19" s="372">
        <v>6</v>
      </c>
      <c r="BI19" s="1">
        <v>0</v>
      </c>
      <c r="BJ19" s="372"/>
      <c r="BK19" s="372">
        <v>30</v>
      </c>
      <c r="BL19" s="372">
        <v>23</v>
      </c>
      <c r="BM19" s="372"/>
      <c r="BN19" s="372"/>
      <c r="BO19" s="372"/>
      <c r="BP19" s="376"/>
      <c r="BQ19" s="372"/>
      <c r="BR19" s="392"/>
      <c r="BS19" s="372"/>
      <c r="BT19" s="372"/>
      <c r="BU19" s="372"/>
      <c r="BV19" s="372"/>
      <c r="BW19" s="372"/>
      <c r="BX19" s="372"/>
      <c r="BY19" s="372"/>
      <c r="BZ19" s="372"/>
      <c r="CA19" s="372"/>
      <c r="CB19" s="372"/>
      <c r="CC19" s="373"/>
    </row>
    <row r="20" spans="1:81" ht="13" x14ac:dyDescent="0.3">
      <c r="A20" s="96">
        <v>17</v>
      </c>
      <c r="B20" s="9" t="s">
        <v>86</v>
      </c>
      <c r="C20" s="372">
        <v>771</v>
      </c>
      <c r="D20" s="372">
        <v>95</v>
      </c>
      <c r="E20" s="1"/>
      <c r="F20" s="372">
        <v>89</v>
      </c>
      <c r="G20" s="372"/>
      <c r="H20" s="372">
        <v>134</v>
      </c>
      <c r="I20" s="372">
        <v>386</v>
      </c>
      <c r="J20" s="372"/>
      <c r="K20" s="292"/>
      <c r="L20" s="4">
        <v>344</v>
      </c>
      <c r="M20" s="4">
        <v>318</v>
      </c>
      <c r="N20" s="29"/>
      <c r="O20" s="388"/>
      <c r="P20" s="376">
        <v>998</v>
      </c>
      <c r="Q20" s="372">
        <v>95</v>
      </c>
      <c r="R20" s="372">
        <v>382</v>
      </c>
      <c r="S20" s="389">
        <v>176</v>
      </c>
      <c r="T20" s="372">
        <v>247</v>
      </c>
      <c r="U20" s="372">
        <v>134</v>
      </c>
      <c r="V20" s="372">
        <v>455</v>
      </c>
      <c r="W20" s="390">
        <v>1009</v>
      </c>
      <c r="X20" s="372"/>
      <c r="Y20" s="372">
        <v>345</v>
      </c>
      <c r="Z20" s="372">
        <v>318</v>
      </c>
      <c r="AA20" s="372"/>
      <c r="AB20" s="373"/>
      <c r="AC20" s="376">
        <v>989</v>
      </c>
      <c r="AD20" s="390">
        <v>95</v>
      </c>
      <c r="AE20" s="372">
        <v>416</v>
      </c>
      <c r="AF20" s="372">
        <v>211</v>
      </c>
      <c r="AG20" s="372">
        <v>247</v>
      </c>
      <c r="AH20" s="372">
        <v>195</v>
      </c>
      <c r="AI20" s="372">
        <v>466</v>
      </c>
      <c r="AJ20" s="372">
        <v>978</v>
      </c>
      <c r="AK20" s="2">
        <v>768</v>
      </c>
      <c r="AL20" s="372">
        <v>341</v>
      </c>
      <c r="AM20" s="372">
        <v>319</v>
      </c>
      <c r="AN20" s="372"/>
      <c r="AO20" s="373"/>
      <c r="AP20" s="33">
        <v>985</v>
      </c>
      <c r="AQ20" s="372">
        <v>95</v>
      </c>
      <c r="AR20" s="372">
        <v>416</v>
      </c>
      <c r="AS20" s="372">
        <v>81</v>
      </c>
      <c r="AT20" s="372">
        <v>248</v>
      </c>
      <c r="AU20" s="372">
        <v>192</v>
      </c>
      <c r="AV20" s="372">
        <v>449</v>
      </c>
      <c r="AW20" s="372">
        <v>961</v>
      </c>
      <c r="AX20" s="2">
        <v>767</v>
      </c>
      <c r="AY20" s="372">
        <v>401</v>
      </c>
      <c r="AZ20" s="372">
        <v>315</v>
      </c>
      <c r="BA20" s="372"/>
      <c r="BB20" s="373"/>
      <c r="BC20" s="372">
        <v>815</v>
      </c>
      <c r="BD20" s="372">
        <v>140</v>
      </c>
      <c r="BE20" s="391">
        <v>416</v>
      </c>
      <c r="BF20" s="372">
        <v>308</v>
      </c>
      <c r="BG20" s="372">
        <v>251</v>
      </c>
      <c r="BH20" s="372">
        <v>168</v>
      </c>
      <c r="BI20" s="1">
        <v>449</v>
      </c>
      <c r="BJ20" s="372">
        <v>1020</v>
      </c>
      <c r="BK20" s="372">
        <v>767</v>
      </c>
      <c r="BL20" s="372">
        <v>397</v>
      </c>
      <c r="BM20" s="372">
        <v>331</v>
      </c>
      <c r="BN20" s="372"/>
      <c r="BO20" s="372"/>
      <c r="BP20" s="376"/>
      <c r="BQ20" s="372"/>
      <c r="BR20" s="392"/>
      <c r="BS20" s="372"/>
      <c r="BT20" s="372"/>
      <c r="BU20" s="372"/>
      <c r="BV20" s="372"/>
      <c r="BW20" s="372"/>
      <c r="BX20" s="372"/>
      <c r="BY20" s="372"/>
      <c r="BZ20" s="372"/>
      <c r="CA20" s="372"/>
      <c r="CB20" s="372"/>
      <c r="CC20" s="373"/>
    </row>
    <row r="21" spans="1:81" ht="13" x14ac:dyDescent="0.3">
      <c r="A21" s="96">
        <v>18</v>
      </c>
      <c r="B21" s="9" t="s">
        <v>100</v>
      </c>
      <c r="C21" s="372"/>
      <c r="D21" s="372"/>
      <c r="E21" s="1"/>
      <c r="F21" s="372"/>
      <c r="G21" s="372"/>
      <c r="H21" s="372">
        <v>27</v>
      </c>
      <c r="I21" s="372"/>
      <c r="J21" s="372"/>
      <c r="K21" s="292"/>
      <c r="L21" s="4"/>
      <c r="M21" s="4"/>
      <c r="N21" s="29"/>
      <c r="O21" s="388"/>
      <c r="P21" s="376"/>
      <c r="Q21" s="372"/>
      <c r="R21" s="372"/>
      <c r="S21" s="389"/>
      <c r="T21" s="390"/>
      <c r="U21" s="372">
        <v>27</v>
      </c>
      <c r="V21" s="372"/>
      <c r="W21" s="372"/>
      <c r="X21" s="372"/>
      <c r="Y21" s="372"/>
      <c r="Z21" s="372"/>
      <c r="AA21" s="372"/>
      <c r="AB21" s="373"/>
      <c r="AC21" s="376"/>
      <c r="AD21" s="372"/>
      <c r="AE21" s="372"/>
      <c r="AF21" s="372"/>
      <c r="AG21" s="372"/>
      <c r="AH21" s="372">
        <v>13</v>
      </c>
      <c r="AI21" s="372"/>
      <c r="AJ21" s="372"/>
      <c r="AK21" s="2"/>
      <c r="AL21" s="372"/>
      <c r="AM21" s="372"/>
      <c r="AN21" s="372"/>
      <c r="AO21" s="373"/>
      <c r="AP21" s="33"/>
      <c r="AQ21" s="372"/>
      <c r="AR21" s="372"/>
      <c r="AS21" s="372"/>
      <c r="AT21" s="372"/>
      <c r="AU21" s="372">
        <v>13</v>
      </c>
      <c r="AV21" s="372"/>
      <c r="AW21" s="372"/>
      <c r="AX21" s="2"/>
      <c r="AY21" s="372"/>
      <c r="AZ21" s="372"/>
      <c r="BA21" s="372"/>
      <c r="BB21" s="373"/>
      <c r="BC21" s="372"/>
      <c r="BD21" s="372"/>
      <c r="BE21" s="391"/>
      <c r="BF21" s="372"/>
      <c r="BG21" s="372"/>
      <c r="BH21" s="372"/>
      <c r="BI21" s="1"/>
      <c r="BJ21" s="372"/>
      <c r="BK21" s="372"/>
      <c r="BL21" s="372"/>
      <c r="BM21" s="372"/>
      <c r="BN21" s="372"/>
      <c r="BO21" s="372"/>
      <c r="BP21" s="376"/>
      <c r="BQ21" s="372"/>
      <c r="BR21" s="392"/>
      <c r="BS21" s="372"/>
      <c r="BT21" s="372"/>
      <c r="BU21" s="372"/>
      <c r="BV21" s="372"/>
      <c r="BW21" s="372"/>
      <c r="BX21" s="372"/>
      <c r="BY21" s="372"/>
      <c r="BZ21" s="372"/>
      <c r="CA21" s="372"/>
      <c r="CB21" s="372"/>
      <c r="CC21" s="373"/>
    </row>
    <row r="22" spans="1:81" ht="13" x14ac:dyDescent="0.3">
      <c r="A22" s="96">
        <v>19</v>
      </c>
      <c r="B22" s="391" t="s">
        <v>96</v>
      </c>
      <c r="C22" s="372"/>
      <c r="D22" s="372"/>
      <c r="E22" s="1"/>
      <c r="F22" s="372"/>
      <c r="G22" s="372"/>
      <c r="H22" s="372">
        <v>6</v>
      </c>
      <c r="I22" s="372"/>
      <c r="J22" s="372"/>
      <c r="K22" s="292"/>
      <c r="L22" s="4">
        <v>8</v>
      </c>
      <c r="M22" s="4"/>
      <c r="N22" s="29"/>
      <c r="O22" s="388"/>
      <c r="P22" s="376"/>
      <c r="Q22" s="372"/>
      <c r="R22" s="372">
        <v>38</v>
      </c>
      <c r="S22" s="389"/>
      <c r="T22" s="372"/>
      <c r="U22" s="372">
        <v>6</v>
      </c>
      <c r="V22" s="372"/>
      <c r="W22" s="372"/>
      <c r="X22" s="372"/>
      <c r="Y22" s="372">
        <v>9</v>
      </c>
      <c r="Z22" s="372"/>
      <c r="AA22" s="372"/>
      <c r="AB22" s="373"/>
      <c r="AC22" s="376"/>
      <c r="AD22" s="372"/>
      <c r="AE22" s="372">
        <v>24</v>
      </c>
      <c r="AF22" s="372"/>
      <c r="AG22" s="372"/>
      <c r="AH22" s="372"/>
      <c r="AI22" s="372"/>
      <c r="AJ22" s="372"/>
      <c r="AK22" s="2"/>
      <c r="AL22" s="372">
        <v>8</v>
      </c>
      <c r="AM22" s="372"/>
      <c r="AN22" s="372"/>
      <c r="AO22" s="373"/>
      <c r="AP22" s="33"/>
      <c r="AQ22" s="372"/>
      <c r="AR22" s="372">
        <v>13</v>
      </c>
      <c r="AS22" s="372"/>
      <c r="AT22" s="372"/>
      <c r="AU22" s="1"/>
      <c r="AV22" s="372"/>
      <c r="AW22" s="372"/>
      <c r="AX22" s="2"/>
      <c r="AY22" s="372"/>
      <c r="AZ22" s="372"/>
      <c r="BA22" s="372"/>
      <c r="BB22" s="373"/>
      <c r="BC22" s="372"/>
      <c r="BD22" s="372"/>
      <c r="BE22" s="391">
        <f>2+6+5</f>
        <v>13</v>
      </c>
      <c r="BF22" s="372"/>
      <c r="BG22" s="372"/>
      <c r="BH22" s="372">
        <v>9</v>
      </c>
      <c r="BI22" s="1"/>
      <c r="BJ22" s="372"/>
      <c r="BK22" s="372"/>
      <c r="BL22" s="372"/>
      <c r="BM22" s="372"/>
      <c r="BN22" s="372"/>
      <c r="BO22" s="372"/>
      <c r="BP22" s="376"/>
      <c r="BQ22" s="372"/>
      <c r="BR22" s="392"/>
      <c r="BS22" s="372"/>
      <c r="BT22" s="372"/>
      <c r="BU22" s="372"/>
      <c r="BV22" s="372"/>
      <c r="BW22" s="372"/>
      <c r="BX22" s="372"/>
      <c r="BY22" s="372"/>
      <c r="BZ22" s="372"/>
      <c r="CA22" s="372"/>
      <c r="CB22" s="372"/>
      <c r="CC22" s="373"/>
    </row>
    <row r="23" spans="1:81" ht="13" x14ac:dyDescent="0.3">
      <c r="A23" s="96">
        <v>20</v>
      </c>
      <c r="B23" s="391" t="s">
        <v>99</v>
      </c>
      <c r="C23" s="372"/>
      <c r="D23" s="372"/>
      <c r="E23" s="1"/>
      <c r="F23" s="372"/>
      <c r="G23" s="372"/>
      <c r="H23" s="372"/>
      <c r="I23" s="372"/>
      <c r="J23" s="372"/>
      <c r="K23" s="292"/>
      <c r="L23" s="4">
        <v>17</v>
      </c>
      <c r="M23" s="4"/>
      <c r="N23" s="29"/>
      <c r="O23" s="388"/>
      <c r="P23" s="376"/>
      <c r="Q23" s="372"/>
      <c r="R23" s="372"/>
      <c r="S23" s="389"/>
      <c r="T23" s="372"/>
      <c r="U23" s="372"/>
      <c r="V23" s="372"/>
      <c r="W23" s="372"/>
      <c r="X23" s="372"/>
      <c r="Y23" s="372">
        <v>13</v>
      </c>
      <c r="Z23" s="372"/>
      <c r="AA23" s="372"/>
      <c r="AB23" s="373"/>
      <c r="AC23" s="376"/>
      <c r="AD23" s="372"/>
      <c r="AE23" s="372"/>
      <c r="AF23" s="372"/>
      <c r="AG23" s="372"/>
      <c r="AH23" s="372"/>
      <c r="AI23" s="372"/>
      <c r="AJ23" s="372"/>
      <c r="AK23" s="2"/>
      <c r="AL23" s="372">
        <v>12</v>
      </c>
      <c r="AM23" s="372"/>
      <c r="AN23" s="372"/>
      <c r="AO23" s="373"/>
      <c r="AP23" s="33"/>
      <c r="AQ23" s="372"/>
      <c r="AR23" s="372"/>
      <c r="AS23" s="372"/>
      <c r="AT23" s="372"/>
      <c r="AU23" s="372"/>
      <c r="AV23" s="372"/>
      <c r="AW23" s="372"/>
      <c r="AX23" s="2"/>
      <c r="AY23" s="372"/>
      <c r="AZ23" s="372"/>
      <c r="BA23" s="372"/>
      <c r="BB23" s="373"/>
      <c r="BC23" s="372"/>
      <c r="BD23" s="372"/>
      <c r="BE23" s="391"/>
      <c r="BF23" s="372"/>
      <c r="BG23" s="372"/>
      <c r="BH23" s="372"/>
      <c r="BI23" s="1"/>
      <c r="BJ23" s="372"/>
      <c r="BK23" s="372"/>
      <c r="BL23" s="372"/>
      <c r="BM23" s="372"/>
      <c r="BN23" s="372"/>
      <c r="BO23" s="372"/>
      <c r="BP23" s="376"/>
      <c r="BQ23" s="372"/>
      <c r="BR23" s="392"/>
      <c r="BS23" s="372"/>
      <c r="BT23" s="372"/>
      <c r="BU23" s="372"/>
      <c r="BV23" s="372"/>
      <c r="BW23" s="372"/>
      <c r="BX23" s="372"/>
      <c r="BY23" s="372"/>
      <c r="BZ23" s="372"/>
      <c r="CA23" s="372"/>
      <c r="CB23" s="372"/>
      <c r="CC23" s="373"/>
    </row>
    <row r="24" spans="1:81" ht="13" x14ac:dyDescent="0.3">
      <c r="A24" s="96">
        <v>21</v>
      </c>
      <c r="B24" s="9" t="s">
        <v>87</v>
      </c>
      <c r="C24" s="372"/>
      <c r="D24" s="372"/>
      <c r="E24" s="1"/>
      <c r="F24" s="372"/>
      <c r="G24" s="372"/>
      <c r="H24" s="372"/>
      <c r="I24" s="372">
        <v>0</v>
      </c>
      <c r="J24" s="372"/>
      <c r="K24" s="292">
        <v>0</v>
      </c>
      <c r="L24" s="4"/>
      <c r="M24" s="4"/>
      <c r="N24" s="29"/>
      <c r="O24" s="388"/>
      <c r="P24" s="376"/>
      <c r="Q24" s="372"/>
      <c r="R24" s="372"/>
      <c r="S24" s="389"/>
      <c r="T24" s="372"/>
      <c r="U24" s="372"/>
      <c r="V24" s="372">
        <v>0</v>
      </c>
      <c r="W24" s="372">
        <v>0</v>
      </c>
      <c r="X24" s="4">
        <v>0</v>
      </c>
      <c r="Y24" s="372"/>
      <c r="Z24" s="372"/>
      <c r="AA24" s="372"/>
      <c r="AB24" s="373"/>
      <c r="AC24" s="376"/>
      <c r="AD24" s="372"/>
      <c r="AE24" s="372"/>
      <c r="AF24" s="372"/>
      <c r="AG24" s="372"/>
      <c r="AH24" s="372"/>
      <c r="AI24" s="372">
        <v>0</v>
      </c>
      <c r="AJ24" s="372">
        <v>0</v>
      </c>
      <c r="AK24" s="2">
        <v>0</v>
      </c>
      <c r="AL24" s="372"/>
      <c r="AM24" s="372"/>
      <c r="AN24" s="372"/>
      <c r="AO24" s="373"/>
      <c r="AP24" s="33"/>
      <c r="AQ24" s="372"/>
      <c r="AR24" s="372"/>
      <c r="AS24" s="372"/>
      <c r="AT24" s="372"/>
      <c r="AU24" s="372"/>
      <c r="AV24" s="372">
        <v>0</v>
      </c>
      <c r="AW24" s="372">
        <v>0</v>
      </c>
      <c r="AX24" s="2">
        <v>0</v>
      </c>
      <c r="AY24" s="372"/>
      <c r="AZ24" s="372"/>
      <c r="BA24" s="372"/>
      <c r="BB24" s="373"/>
      <c r="BC24" s="372"/>
      <c r="BD24" s="372"/>
      <c r="BE24" s="391"/>
      <c r="BF24" s="372"/>
      <c r="BG24" s="372"/>
      <c r="BH24" s="372"/>
      <c r="BI24" s="1">
        <v>0</v>
      </c>
      <c r="BJ24" s="372">
        <v>0</v>
      </c>
      <c r="BK24" s="372">
        <v>0</v>
      </c>
      <c r="BL24" s="372"/>
      <c r="BM24" s="372"/>
      <c r="BN24" s="372"/>
      <c r="BO24" s="372"/>
      <c r="BP24" s="376"/>
      <c r="BQ24" s="372"/>
      <c r="BR24" s="392"/>
      <c r="BS24" s="372"/>
      <c r="BT24" s="372"/>
      <c r="BU24" s="372"/>
      <c r="BV24" s="372"/>
      <c r="BW24" s="372"/>
      <c r="BX24" s="372"/>
      <c r="BY24" s="372"/>
      <c r="BZ24" s="372"/>
      <c r="CA24" s="372"/>
      <c r="CB24" s="372"/>
      <c r="CC24" s="373"/>
    </row>
    <row r="25" spans="1:81" ht="13" x14ac:dyDescent="0.3">
      <c r="A25" s="96">
        <v>22</v>
      </c>
      <c r="B25" s="9" t="s">
        <v>88</v>
      </c>
      <c r="C25" s="372">
        <v>115</v>
      </c>
      <c r="D25" s="372"/>
      <c r="E25" s="1"/>
      <c r="F25" s="372"/>
      <c r="G25" s="372"/>
      <c r="H25" s="372"/>
      <c r="I25" s="372">
        <v>3</v>
      </c>
      <c r="J25" s="372"/>
      <c r="K25" s="292">
        <v>36</v>
      </c>
      <c r="L25" s="4">
        <v>6</v>
      </c>
      <c r="M25" s="4"/>
      <c r="N25" s="29"/>
      <c r="O25" s="388"/>
      <c r="P25" s="376">
        <v>156</v>
      </c>
      <c r="Q25" s="372"/>
      <c r="R25" s="372">
        <v>2</v>
      </c>
      <c r="S25" s="389"/>
      <c r="T25" s="372">
        <v>1</v>
      </c>
      <c r="U25" s="372">
        <v>20</v>
      </c>
      <c r="V25" s="372">
        <v>17</v>
      </c>
      <c r="W25" s="372">
        <v>114</v>
      </c>
      <c r="X25" s="4">
        <v>36</v>
      </c>
      <c r="Y25" s="372">
        <v>11</v>
      </c>
      <c r="Z25" s="372"/>
      <c r="AA25" s="372"/>
      <c r="AB25" s="373"/>
      <c r="AC25" s="376">
        <v>156</v>
      </c>
      <c r="AD25" s="372"/>
      <c r="AE25" s="372">
        <v>22</v>
      </c>
      <c r="AF25" s="372"/>
      <c r="AG25" s="372">
        <v>1</v>
      </c>
      <c r="AH25" s="372">
        <v>39</v>
      </c>
      <c r="AI25" s="372">
        <v>17</v>
      </c>
      <c r="AJ25" s="372">
        <v>128</v>
      </c>
      <c r="AK25" s="2">
        <v>36</v>
      </c>
      <c r="AL25" s="372">
        <v>11</v>
      </c>
      <c r="AM25" s="372">
        <v>10</v>
      </c>
      <c r="AN25" s="372"/>
      <c r="AO25" s="373"/>
      <c r="AP25" s="33">
        <v>265</v>
      </c>
      <c r="AQ25" s="372"/>
      <c r="AR25" s="372">
        <v>35</v>
      </c>
      <c r="AS25" s="372">
        <v>40</v>
      </c>
      <c r="AT25" s="372">
        <v>1</v>
      </c>
      <c r="AU25" s="372">
        <v>39</v>
      </c>
      <c r="AV25" s="372">
        <v>31</v>
      </c>
      <c r="AW25" s="372">
        <v>118</v>
      </c>
      <c r="AX25" s="2">
        <v>36</v>
      </c>
      <c r="AY25" s="372">
        <v>18</v>
      </c>
      <c r="AZ25" s="372">
        <v>10</v>
      </c>
      <c r="BA25" s="372"/>
      <c r="BB25" s="373"/>
      <c r="BC25" s="372">
        <v>448</v>
      </c>
      <c r="BD25" s="372">
        <v>30</v>
      </c>
      <c r="BE25" s="391">
        <v>35</v>
      </c>
      <c r="BF25" s="372">
        <v>102</v>
      </c>
      <c r="BG25" s="372">
        <v>3</v>
      </c>
      <c r="BH25" s="372">
        <v>139</v>
      </c>
      <c r="BI25" s="412">
        <v>31</v>
      </c>
      <c r="BJ25" s="372">
        <v>118</v>
      </c>
      <c r="BK25" s="372">
        <v>37</v>
      </c>
      <c r="BL25" s="372">
        <v>18</v>
      </c>
      <c r="BM25" s="372">
        <v>10</v>
      </c>
      <c r="BN25" s="372"/>
      <c r="BO25" s="372"/>
      <c r="BP25" s="376"/>
      <c r="BQ25" s="372"/>
      <c r="BR25" s="392"/>
      <c r="BS25" s="372"/>
      <c r="BT25" s="372"/>
      <c r="BU25" s="372"/>
      <c r="BV25" s="372"/>
      <c r="BW25" s="372"/>
      <c r="BX25" s="372"/>
      <c r="BY25" s="372"/>
      <c r="BZ25" s="372"/>
      <c r="CA25" s="372"/>
      <c r="CB25" s="372"/>
      <c r="CC25" s="373"/>
    </row>
    <row r="26" spans="1:81" x14ac:dyDescent="0.3">
      <c r="A26" s="96">
        <v>23</v>
      </c>
      <c r="B26" s="9" t="s">
        <v>89</v>
      </c>
      <c r="C26" s="372">
        <v>163</v>
      </c>
      <c r="D26" s="372"/>
      <c r="E26" s="372"/>
      <c r="F26" s="372">
        <v>141</v>
      </c>
      <c r="G26" s="372"/>
      <c r="H26" s="372"/>
      <c r="I26" s="372">
        <v>16</v>
      </c>
      <c r="J26" s="372"/>
      <c r="K26" s="292">
        <v>113</v>
      </c>
      <c r="L26" s="4"/>
      <c r="M26" s="4"/>
      <c r="N26" s="29"/>
      <c r="O26" s="388"/>
      <c r="P26" s="376">
        <v>140</v>
      </c>
      <c r="Q26" s="372"/>
      <c r="R26" s="372"/>
      <c r="S26" s="389">
        <v>145</v>
      </c>
      <c r="T26" s="372">
        <v>97</v>
      </c>
      <c r="U26" s="372"/>
      <c r="V26" s="372">
        <v>0</v>
      </c>
      <c r="W26" s="372">
        <v>144</v>
      </c>
      <c r="X26" s="4">
        <v>113</v>
      </c>
      <c r="Y26" s="372"/>
      <c r="Z26" s="372"/>
      <c r="AA26" s="372"/>
      <c r="AB26" s="373"/>
      <c r="AC26" s="376">
        <v>138</v>
      </c>
      <c r="AD26" s="372"/>
      <c r="AE26" s="372"/>
      <c r="AF26" s="372">
        <v>143</v>
      </c>
      <c r="AG26" s="372">
        <v>97</v>
      </c>
      <c r="AH26" s="372"/>
      <c r="AI26" s="372">
        <v>0</v>
      </c>
      <c r="AJ26" s="372">
        <v>152</v>
      </c>
      <c r="AK26" s="2">
        <v>113</v>
      </c>
      <c r="AL26" s="372"/>
      <c r="AM26" s="372"/>
      <c r="AN26" s="372"/>
      <c r="AO26" s="373"/>
      <c r="AP26" s="33">
        <v>116</v>
      </c>
      <c r="AQ26" s="372"/>
      <c r="AR26" s="372"/>
      <c r="AS26" s="372">
        <v>142</v>
      </c>
      <c r="AT26" s="372">
        <v>97</v>
      </c>
      <c r="AU26" s="372"/>
      <c r="AV26" s="372">
        <v>0</v>
      </c>
      <c r="AW26" s="372">
        <v>153</v>
      </c>
      <c r="AX26" s="2">
        <v>126</v>
      </c>
      <c r="AY26" s="372"/>
      <c r="AZ26" s="372"/>
      <c r="BA26" s="372"/>
      <c r="BB26" s="373"/>
      <c r="BC26" s="372">
        <v>69</v>
      </c>
      <c r="BD26" s="372"/>
      <c r="BE26" s="1"/>
      <c r="BF26" s="372">
        <v>223</v>
      </c>
      <c r="BG26" s="372">
        <v>97</v>
      </c>
      <c r="BH26" s="372"/>
      <c r="BI26" s="412">
        <v>0</v>
      </c>
      <c r="BJ26" s="372">
        <v>153</v>
      </c>
      <c r="BK26" s="372">
        <v>126</v>
      </c>
      <c r="BL26" s="372"/>
      <c r="BM26" s="372"/>
      <c r="BN26" s="372"/>
      <c r="BO26" s="372"/>
      <c r="BP26" s="376"/>
      <c r="BQ26" s="372"/>
      <c r="BR26" s="372"/>
      <c r="BS26" s="372"/>
      <c r="BT26" s="372"/>
      <c r="BU26" s="372"/>
      <c r="BV26" s="372"/>
      <c r="BW26" s="372"/>
      <c r="BX26" s="372"/>
      <c r="BY26" s="372"/>
      <c r="BZ26" s="372"/>
      <c r="CA26" s="372"/>
      <c r="CB26" s="372"/>
      <c r="CC26" s="373"/>
    </row>
    <row r="27" spans="1:81" x14ac:dyDescent="0.3">
      <c r="A27" s="96">
        <v>24</v>
      </c>
      <c r="B27" s="9" t="s">
        <v>90</v>
      </c>
      <c r="C27" s="372"/>
      <c r="D27" s="372"/>
      <c r="E27" s="372"/>
      <c r="F27" s="372">
        <v>125</v>
      </c>
      <c r="G27" s="372"/>
      <c r="H27" s="372"/>
      <c r="I27" s="372"/>
      <c r="J27" s="372"/>
      <c r="K27" s="292">
        <v>85</v>
      </c>
      <c r="L27" s="4"/>
      <c r="M27" s="4"/>
      <c r="N27" s="29"/>
      <c r="O27" s="388"/>
      <c r="P27" s="376"/>
      <c r="Q27" s="372">
        <v>133</v>
      </c>
      <c r="R27" s="372"/>
      <c r="S27" s="389">
        <v>129</v>
      </c>
      <c r="T27" s="372">
        <v>18</v>
      </c>
      <c r="U27" s="372"/>
      <c r="V27" s="372"/>
      <c r="W27" s="372">
        <v>0</v>
      </c>
      <c r="X27" s="4">
        <v>85</v>
      </c>
      <c r="Y27" s="372"/>
      <c r="Z27" s="372"/>
      <c r="AA27" s="372"/>
      <c r="AB27" s="373"/>
      <c r="AC27" s="376"/>
      <c r="AD27" s="372">
        <v>133</v>
      </c>
      <c r="AE27" s="372"/>
      <c r="AF27" s="372">
        <v>146</v>
      </c>
      <c r="AG27" s="372">
        <v>18</v>
      </c>
      <c r="AH27" s="372"/>
      <c r="AI27" s="372"/>
      <c r="AJ27" s="372">
        <v>80</v>
      </c>
      <c r="AK27" s="2">
        <v>85</v>
      </c>
      <c r="AL27" s="372"/>
      <c r="AM27" s="372"/>
      <c r="AN27" s="372"/>
      <c r="AO27" s="373"/>
      <c r="AP27" s="33"/>
      <c r="AQ27" s="372">
        <v>133</v>
      </c>
      <c r="AR27" s="372"/>
      <c r="AS27" s="372">
        <v>107</v>
      </c>
      <c r="AT27" s="372">
        <v>18</v>
      </c>
      <c r="AU27" s="372"/>
      <c r="AV27" s="372"/>
      <c r="AW27" s="372">
        <v>0</v>
      </c>
      <c r="AX27" s="2">
        <v>104</v>
      </c>
      <c r="AY27" s="372"/>
      <c r="AZ27" s="372"/>
      <c r="BA27" s="372"/>
      <c r="BB27" s="373"/>
      <c r="BC27" s="372"/>
      <c r="BD27" s="372"/>
      <c r="BE27" s="372"/>
      <c r="BF27" s="372">
        <v>105</v>
      </c>
      <c r="BG27" s="372">
        <v>18</v>
      </c>
      <c r="BH27" s="372"/>
      <c r="BI27" s="411"/>
      <c r="BJ27" s="372">
        <v>0</v>
      </c>
      <c r="BK27" s="372">
        <v>104</v>
      </c>
      <c r="BL27" s="372"/>
      <c r="BM27" s="372"/>
      <c r="BN27" s="372"/>
      <c r="BO27" s="372"/>
      <c r="BP27" s="376"/>
      <c r="BQ27" s="372"/>
      <c r="BR27" s="372"/>
      <c r="BS27" s="372"/>
      <c r="BT27" s="372"/>
      <c r="BU27" s="372"/>
      <c r="BV27" s="372"/>
      <c r="BW27" s="372"/>
      <c r="BX27" s="372"/>
      <c r="BY27" s="372"/>
      <c r="BZ27" s="372"/>
      <c r="CA27" s="372"/>
      <c r="CB27" s="372"/>
      <c r="CC27" s="373"/>
    </row>
    <row r="28" spans="1:81" x14ac:dyDescent="0.3">
      <c r="A28" s="96">
        <v>25</v>
      </c>
      <c r="B28" s="9" t="s">
        <v>91</v>
      </c>
      <c r="C28" s="372"/>
      <c r="D28" s="372"/>
      <c r="E28" s="372"/>
      <c r="F28" s="372"/>
      <c r="G28" s="372"/>
      <c r="H28" s="372"/>
      <c r="I28" s="372"/>
      <c r="J28" s="372"/>
      <c r="K28" s="292">
        <v>58</v>
      </c>
      <c r="L28" s="4"/>
      <c r="M28" s="4"/>
      <c r="N28" s="29"/>
      <c r="O28" s="388"/>
      <c r="P28" s="376"/>
      <c r="Q28" s="372"/>
      <c r="R28" s="372"/>
      <c r="S28" s="372"/>
      <c r="T28" s="372"/>
      <c r="U28" s="372"/>
      <c r="V28" s="372"/>
      <c r="W28" s="372">
        <v>352</v>
      </c>
      <c r="X28" s="4">
        <v>58</v>
      </c>
      <c r="Y28" s="372"/>
      <c r="Z28" s="372"/>
      <c r="AA28" s="372"/>
      <c r="AB28" s="373"/>
      <c r="AC28" s="376"/>
      <c r="AD28" s="372"/>
      <c r="AE28" s="372"/>
      <c r="AF28" s="372"/>
      <c r="AG28" s="372"/>
      <c r="AH28" s="372"/>
      <c r="AI28" s="372"/>
      <c r="AJ28" s="372">
        <v>252</v>
      </c>
      <c r="AK28" s="2">
        <v>58</v>
      </c>
      <c r="AL28" s="372"/>
      <c r="AM28" s="372"/>
      <c r="AN28" s="372"/>
      <c r="AO28" s="373"/>
      <c r="AP28" s="33"/>
      <c r="AQ28" s="372"/>
      <c r="AR28" s="372"/>
      <c r="AS28" s="372"/>
      <c r="AT28" s="372"/>
      <c r="AU28" s="372"/>
      <c r="AV28" s="372"/>
      <c r="AW28" s="372">
        <v>236</v>
      </c>
      <c r="AX28" s="2">
        <v>58</v>
      </c>
      <c r="AY28" s="372"/>
      <c r="AZ28" s="372"/>
      <c r="BA28" s="372"/>
      <c r="BB28" s="373"/>
      <c r="BC28" s="372"/>
      <c r="BD28" s="372"/>
      <c r="BE28" s="372"/>
      <c r="BF28" s="372"/>
      <c r="BG28" s="372"/>
      <c r="BH28" s="372"/>
      <c r="BI28" s="411"/>
      <c r="BJ28" s="372">
        <v>0</v>
      </c>
      <c r="BK28" s="372">
        <v>58</v>
      </c>
      <c r="BL28" s="372"/>
      <c r="BM28" s="372"/>
      <c r="BN28" s="372"/>
      <c r="BO28" s="372"/>
      <c r="BP28" s="376"/>
      <c r="BQ28" s="372"/>
      <c r="BR28" s="372"/>
      <c r="BS28" s="372"/>
      <c r="BT28" s="372"/>
      <c r="BU28" s="372"/>
      <c r="BV28" s="372"/>
      <c r="BW28" s="372"/>
      <c r="BX28" s="372"/>
      <c r="BY28" s="372"/>
      <c r="BZ28" s="372"/>
      <c r="CA28" s="372"/>
      <c r="CB28" s="372"/>
      <c r="CC28" s="373"/>
    </row>
    <row r="29" spans="1:81" x14ac:dyDescent="0.3">
      <c r="A29" s="96">
        <v>26</v>
      </c>
      <c r="B29" s="9" t="s">
        <v>92</v>
      </c>
      <c r="C29" s="372"/>
      <c r="D29" s="372">
        <v>133</v>
      </c>
      <c r="E29" s="372"/>
      <c r="F29" s="372"/>
      <c r="G29" s="372"/>
      <c r="H29" s="372"/>
      <c r="I29" s="372"/>
      <c r="J29" s="372"/>
      <c r="K29" s="292">
        <v>323</v>
      </c>
      <c r="L29" s="4"/>
      <c r="M29" s="4"/>
      <c r="N29" s="29"/>
      <c r="O29" s="388"/>
      <c r="P29" s="376"/>
      <c r="Q29" s="372"/>
      <c r="R29" s="372"/>
      <c r="S29" s="372"/>
      <c r="T29" s="372"/>
      <c r="U29" s="372"/>
      <c r="V29" s="411"/>
      <c r="W29" s="372">
        <v>399</v>
      </c>
      <c r="X29" s="4">
        <v>323</v>
      </c>
      <c r="Y29" s="372"/>
      <c r="Z29" s="372"/>
      <c r="AA29" s="372"/>
      <c r="AB29" s="373"/>
      <c r="AC29" s="376"/>
      <c r="AD29" s="372"/>
      <c r="AE29" s="372"/>
      <c r="AF29" s="372"/>
      <c r="AG29" s="372"/>
      <c r="AH29" s="372"/>
      <c r="AI29" s="411"/>
      <c r="AJ29" s="372">
        <v>366</v>
      </c>
      <c r="AK29" s="2">
        <v>323</v>
      </c>
      <c r="AL29" s="372"/>
      <c r="AM29" s="372"/>
      <c r="AN29" s="372"/>
      <c r="AO29" s="373"/>
      <c r="AP29" s="33"/>
      <c r="AQ29" s="372"/>
      <c r="AR29" s="372"/>
      <c r="AS29" s="372"/>
      <c r="AT29" s="372"/>
      <c r="AU29" s="372"/>
      <c r="AV29" s="372"/>
      <c r="AW29" s="372">
        <v>454</v>
      </c>
      <c r="AX29" s="2">
        <v>457</v>
      </c>
      <c r="AY29" s="372"/>
      <c r="AZ29" s="372"/>
      <c r="BA29" s="372"/>
      <c r="BB29" s="373"/>
      <c r="BC29" s="372"/>
      <c r="BD29" s="372">
        <v>110</v>
      </c>
      <c r="BE29" s="372"/>
      <c r="BF29" s="372"/>
      <c r="BG29" s="372"/>
      <c r="BH29" s="372"/>
      <c r="BI29" s="411"/>
      <c r="BJ29" s="372">
        <v>749</v>
      </c>
      <c r="BK29" s="372">
        <v>457</v>
      </c>
      <c r="BL29" s="372"/>
      <c r="BM29" s="372"/>
      <c r="BN29" s="372"/>
      <c r="BO29" s="372"/>
      <c r="BP29" s="376"/>
      <c r="BQ29" s="372"/>
      <c r="BR29" s="372"/>
      <c r="BS29" s="372"/>
      <c r="BT29" s="372"/>
      <c r="BU29" s="372"/>
      <c r="BV29" s="372"/>
      <c r="BW29" s="372"/>
      <c r="BX29" s="372"/>
      <c r="BY29" s="372"/>
      <c r="BZ29" s="372"/>
      <c r="CA29" s="372"/>
      <c r="CB29" s="372"/>
      <c r="CC29" s="373"/>
    </row>
    <row r="30" spans="1:81" x14ac:dyDescent="0.3">
      <c r="A30" s="96">
        <v>27</v>
      </c>
      <c r="B30" s="10" t="s">
        <v>23</v>
      </c>
      <c r="C30" s="4">
        <v>41295.000000000036</v>
      </c>
      <c r="D30" s="4">
        <v>6889</v>
      </c>
      <c r="E30" s="4">
        <v>9329</v>
      </c>
      <c r="F30" s="4">
        <v>3454</v>
      </c>
      <c r="G30" s="4"/>
      <c r="H30" s="4">
        <v>3382</v>
      </c>
      <c r="I30" s="410"/>
      <c r="J30" s="4"/>
      <c r="K30" s="34">
        <v>24547</v>
      </c>
      <c r="L30" s="4">
        <v>18021</v>
      </c>
      <c r="M30" s="4">
        <v>17667.278706000001</v>
      </c>
      <c r="N30" s="16">
        <v>13261</v>
      </c>
      <c r="O30" s="30"/>
      <c r="P30" s="18">
        <v>24041.780999999999</v>
      </c>
      <c r="Q30" s="4">
        <v>6512</v>
      </c>
      <c r="R30" s="4">
        <v>7227</v>
      </c>
      <c r="S30" s="4">
        <v>3046</v>
      </c>
      <c r="T30" s="4">
        <v>9972</v>
      </c>
      <c r="U30" s="4">
        <v>9687</v>
      </c>
      <c r="V30" s="410"/>
      <c r="W30" s="4">
        <v>27900</v>
      </c>
      <c r="X30" s="4">
        <v>21771</v>
      </c>
      <c r="Y30" s="4">
        <v>18527</v>
      </c>
      <c r="Z30" s="4">
        <v>17336.4702</v>
      </c>
      <c r="AA30" s="16">
        <v>12747</v>
      </c>
      <c r="AB30" s="31">
        <v>10466</v>
      </c>
      <c r="AC30" s="18">
        <v>17474.815999999999</v>
      </c>
      <c r="AD30" s="4">
        <v>6745</v>
      </c>
      <c r="AE30" s="4">
        <v>8154</v>
      </c>
      <c r="AF30" s="4">
        <v>3770</v>
      </c>
      <c r="AG30" s="4">
        <v>10984</v>
      </c>
      <c r="AH30" s="4">
        <v>14109</v>
      </c>
      <c r="AI30" s="410"/>
      <c r="AJ30" s="4">
        <v>18000</v>
      </c>
      <c r="AK30" s="4">
        <v>26815</v>
      </c>
      <c r="AL30" s="4">
        <v>14953</v>
      </c>
      <c r="AM30" s="4">
        <v>16574.646157700001</v>
      </c>
      <c r="AN30" s="16">
        <v>12936</v>
      </c>
      <c r="AO30" s="30">
        <v>12606</v>
      </c>
      <c r="AP30" s="18">
        <v>51444.188000000002</v>
      </c>
      <c r="AQ30" s="4">
        <v>6740</v>
      </c>
      <c r="AR30" s="4">
        <v>7831</v>
      </c>
      <c r="AS30" s="4">
        <v>3544</v>
      </c>
      <c r="AT30" s="4">
        <v>10521</v>
      </c>
      <c r="AU30" s="4">
        <v>14187</v>
      </c>
      <c r="AV30" s="410"/>
      <c r="AW30" s="4">
        <v>21100</v>
      </c>
      <c r="AX30" s="4">
        <v>31156</v>
      </c>
      <c r="AY30" s="4">
        <v>15303</v>
      </c>
      <c r="AZ30" s="4">
        <v>16757.803353000003</v>
      </c>
      <c r="BA30" s="16">
        <v>13708</v>
      </c>
      <c r="BB30" s="30">
        <v>13491</v>
      </c>
      <c r="BC30" s="4">
        <v>48132</v>
      </c>
      <c r="BD30" s="4">
        <v>6538</v>
      </c>
      <c r="BE30" s="4">
        <v>8209</v>
      </c>
      <c r="BF30" s="4">
        <v>3500</v>
      </c>
      <c r="BG30" s="4">
        <v>10747</v>
      </c>
      <c r="BH30" s="4">
        <v>11735</v>
      </c>
      <c r="BI30" s="410"/>
      <c r="BJ30" s="4">
        <v>35800</v>
      </c>
      <c r="BK30" s="4">
        <v>28550</v>
      </c>
      <c r="BL30" s="4">
        <v>15589</v>
      </c>
      <c r="BM30" s="4">
        <v>17047.480013</v>
      </c>
      <c r="BN30" s="377">
        <v>15530</v>
      </c>
      <c r="BO30" s="4">
        <v>13700</v>
      </c>
      <c r="BP30" s="18"/>
      <c r="BQ30" s="4"/>
      <c r="BR30" s="4"/>
      <c r="BS30" s="4"/>
      <c r="BT30" s="4"/>
      <c r="BU30" s="4"/>
      <c r="BV30" s="4"/>
      <c r="BW30" s="4"/>
      <c r="BX30" s="4"/>
      <c r="BY30" s="4"/>
      <c r="BZ30" s="4"/>
      <c r="CA30" s="11"/>
      <c r="CB30" s="4"/>
      <c r="CC30" s="30"/>
    </row>
    <row r="31" spans="1:81" x14ac:dyDescent="0.3">
      <c r="B31" s="393"/>
      <c r="C31" s="4"/>
      <c r="D31" s="4"/>
      <c r="E31" s="4"/>
      <c r="F31" s="4"/>
      <c r="G31" s="4"/>
      <c r="H31" s="4"/>
      <c r="I31" s="410"/>
      <c r="J31" s="4"/>
      <c r="K31" s="34"/>
      <c r="L31" s="4"/>
      <c r="M31" s="4"/>
      <c r="N31" s="16"/>
      <c r="O31" s="30"/>
      <c r="P31" s="18"/>
      <c r="Q31" s="4"/>
      <c r="R31" s="4"/>
      <c r="S31" s="4"/>
      <c r="T31" s="4"/>
      <c r="U31" s="4"/>
      <c r="V31" s="410"/>
      <c r="W31" s="4"/>
      <c r="X31" s="4"/>
      <c r="Y31" s="4"/>
      <c r="Z31" s="4"/>
      <c r="AA31" s="16"/>
      <c r="AB31" s="31"/>
      <c r="AC31" s="18"/>
      <c r="AD31" s="4"/>
      <c r="AE31" s="4"/>
      <c r="AF31" s="4"/>
      <c r="AG31" s="4"/>
      <c r="AH31" s="4"/>
      <c r="AI31" s="410"/>
      <c r="AJ31" s="4"/>
      <c r="AK31" s="4"/>
      <c r="AL31" s="4"/>
      <c r="AM31" s="4"/>
      <c r="AN31" s="16"/>
      <c r="AO31" s="30"/>
      <c r="AP31" s="18"/>
      <c r="AQ31" s="4"/>
      <c r="AR31" s="4"/>
      <c r="AS31" s="4"/>
      <c r="AT31" s="4"/>
      <c r="AU31" s="4"/>
      <c r="AV31" s="410"/>
      <c r="AW31" s="4"/>
      <c r="AX31" s="4"/>
      <c r="AY31" s="4"/>
      <c r="AZ31" s="4"/>
      <c r="BA31" s="16"/>
      <c r="BB31" s="30"/>
      <c r="BC31" s="4"/>
      <c r="BD31" s="4"/>
      <c r="BE31" s="4"/>
      <c r="BF31" s="4"/>
      <c r="BG31" s="4"/>
      <c r="BH31" s="4"/>
      <c r="BI31" s="410"/>
      <c r="BJ31" s="4"/>
      <c r="BK31" s="4"/>
      <c r="BL31" s="4"/>
      <c r="BM31" s="4"/>
      <c r="BN31" s="377"/>
      <c r="BO31" s="4"/>
      <c r="BP31" s="18"/>
      <c r="BQ31" s="4"/>
      <c r="BR31" s="4"/>
      <c r="BS31" s="4"/>
      <c r="BT31" s="4"/>
      <c r="BU31" s="4"/>
      <c r="BV31" s="4"/>
      <c r="BW31" s="4"/>
      <c r="BX31" s="4"/>
      <c r="BY31" s="4"/>
      <c r="BZ31" s="4"/>
      <c r="CA31" s="11"/>
      <c r="CB31" s="4"/>
      <c r="CC31" s="30"/>
    </row>
    <row r="32" spans="1:81" x14ac:dyDescent="0.3">
      <c r="A32" s="96">
        <v>14</v>
      </c>
      <c r="B32" s="393" t="s">
        <v>217</v>
      </c>
      <c r="C32" s="4"/>
      <c r="D32" s="4"/>
      <c r="E32" s="4"/>
      <c r="F32" s="4"/>
      <c r="G32" s="4"/>
      <c r="H32" s="4"/>
      <c r="I32" s="4"/>
      <c r="J32" s="4"/>
      <c r="K32" s="34"/>
      <c r="L32" s="4"/>
      <c r="M32" s="4"/>
      <c r="N32" s="150"/>
      <c r="O32" s="30"/>
      <c r="P32" s="18"/>
      <c r="Q32" s="4"/>
      <c r="R32" s="4"/>
      <c r="S32" s="4"/>
      <c r="T32" s="4"/>
      <c r="U32" s="4"/>
      <c r="V32" s="4"/>
      <c r="W32" s="4"/>
      <c r="X32" s="4"/>
      <c r="Y32" s="4"/>
      <c r="Z32" s="4"/>
      <c r="AA32" s="150"/>
      <c r="AB32" s="31"/>
      <c r="AC32" s="18"/>
      <c r="AD32" s="4"/>
      <c r="AE32" s="4"/>
      <c r="AF32" s="4"/>
      <c r="AG32" s="4"/>
      <c r="AH32" s="4"/>
      <c r="AI32" s="4"/>
      <c r="AJ32" s="4"/>
      <c r="AK32" s="4"/>
      <c r="AL32" s="4"/>
      <c r="AM32" s="4"/>
      <c r="AN32" s="150"/>
      <c r="AO32" s="30"/>
      <c r="AP32" s="18"/>
      <c r="AQ32" s="4"/>
      <c r="AR32" s="4"/>
      <c r="AS32" s="4"/>
      <c r="AT32" s="4"/>
      <c r="AU32" s="4"/>
      <c r="AV32" s="4"/>
      <c r="AW32" s="4"/>
      <c r="AX32" s="4"/>
      <c r="AY32" s="4"/>
      <c r="AZ32" s="4"/>
      <c r="BA32" s="150"/>
      <c r="BB32" s="30"/>
      <c r="BC32" s="4"/>
      <c r="BD32" s="4"/>
      <c r="BE32" s="4"/>
      <c r="BF32" s="4"/>
      <c r="BG32" s="4"/>
      <c r="BH32" s="4"/>
      <c r="BI32" s="4"/>
      <c r="BJ32" s="4"/>
      <c r="BK32" s="4"/>
      <c r="BL32" s="4"/>
      <c r="BM32" s="4"/>
      <c r="BN32" s="151"/>
      <c r="BO32" s="4"/>
      <c r="BP32" s="2"/>
      <c r="BQ32" s="4"/>
      <c r="BR32" s="4"/>
      <c r="BS32" s="4"/>
      <c r="BT32" s="4"/>
      <c r="BU32" s="4"/>
      <c r="BV32" s="4"/>
      <c r="BW32" s="4"/>
      <c r="BX32" s="4"/>
      <c r="BY32" s="4"/>
      <c r="BZ32" s="4"/>
      <c r="CA32" s="12"/>
      <c r="CB32" s="4"/>
      <c r="CC32" s="30"/>
    </row>
    <row r="33" spans="1:81" x14ac:dyDescent="0.3">
      <c r="A33" s="394"/>
      <c r="B33" s="395" t="s">
        <v>218</v>
      </c>
      <c r="C33" s="396"/>
      <c r="D33" s="396"/>
      <c r="E33" s="396"/>
      <c r="F33" s="396">
        <v>0</v>
      </c>
      <c r="G33" s="396"/>
      <c r="H33" s="396"/>
      <c r="I33" s="396"/>
      <c r="J33" s="396"/>
      <c r="K33" s="397">
        <v>3606273</v>
      </c>
      <c r="L33" s="396"/>
      <c r="M33" s="396">
        <v>0</v>
      </c>
      <c r="N33" s="398"/>
      <c r="O33" s="399"/>
      <c r="P33" s="400"/>
      <c r="Q33" s="396"/>
      <c r="R33" s="396"/>
      <c r="S33" s="396">
        <v>0</v>
      </c>
      <c r="T33" s="396"/>
      <c r="U33" s="396"/>
      <c r="V33" s="396"/>
      <c r="W33" s="396"/>
      <c r="X33" s="396">
        <v>278236</v>
      </c>
      <c r="Y33" s="396"/>
      <c r="Z33" s="396">
        <v>0</v>
      </c>
      <c r="AA33" s="398"/>
      <c r="AB33" s="401"/>
      <c r="AC33" s="400"/>
      <c r="AD33" s="396"/>
      <c r="AE33" s="396"/>
      <c r="AF33" s="396">
        <v>0</v>
      </c>
      <c r="AG33" s="396"/>
      <c r="AH33" s="396"/>
      <c r="AI33" s="396"/>
      <c r="AJ33" s="396"/>
      <c r="AK33" s="396">
        <v>0</v>
      </c>
      <c r="AL33" s="396"/>
      <c r="AM33" s="396">
        <v>0</v>
      </c>
      <c r="AN33" s="398"/>
      <c r="AO33" s="399"/>
      <c r="AP33" s="400"/>
      <c r="AQ33" s="396"/>
      <c r="AR33" s="396"/>
      <c r="AS33" s="396">
        <v>0</v>
      </c>
      <c r="AT33" s="396"/>
      <c r="AU33" s="396"/>
      <c r="AV33" s="396"/>
      <c r="AW33" s="396"/>
      <c r="AX33" s="396">
        <v>0</v>
      </c>
      <c r="AY33" s="396"/>
      <c r="AZ33" s="396">
        <v>0</v>
      </c>
      <c r="BA33" s="398"/>
      <c r="BB33" s="399"/>
      <c r="BC33" s="396"/>
      <c r="BD33" s="396"/>
      <c r="BE33" s="396"/>
      <c r="BF33" s="396">
        <v>0</v>
      </c>
      <c r="BG33" s="396"/>
      <c r="BH33" s="396"/>
      <c r="BI33" s="396"/>
      <c r="BJ33" s="396"/>
      <c r="BK33" s="396">
        <v>0</v>
      </c>
      <c r="BL33" s="396"/>
      <c r="BM33" s="396">
        <v>0</v>
      </c>
      <c r="BN33" s="402"/>
      <c r="BO33" s="396"/>
      <c r="BP33" s="400"/>
      <c r="BQ33" s="396">
        <v>1367866</v>
      </c>
      <c r="BR33" s="396"/>
      <c r="BS33" s="396">
        <v>0</v>
      </c>
      <c r="BT33" s="396"/>
      <c r="BU33" s="396">
        <v>0</v>
      </c>
      <c r="BV33" s="396"/>
      <c r="BW33" s="396"/>
      <c r="BX33" s="396">
        <v>0</v>
      </c>
      <c r="BY33" s="396"/>
      <c r="BZ33" s="396">
        <v>0</v>
      </c>
      <c r="CA33" s="403"/>
      <c r="CB33" s="396"/>
      <c r="CC33" s="399">
        <v>0</v>
      </c>
    </row>
    <row r="34" spans="1:81" x14ac:dyDescent="0.3">
      <c r="A34" s="394"/>
      <c r="B34" s="395" t="s">
        <v>171</v>
      </c>
      <c r="C34" s="396">
        <v>17283014</v>
      </c>
      <c r="D34" s="396"/>
      <c r="E34" s="396"/>
      <c r="F34" s="396">
        <v>939000</v>
      </c>
      <c r="G34" s="396"/>
      <c r="H34" s="396"/>
      <c r="I34" s="396"/>
      <c r="J34" s="396"/>
      <c r="K34" s="397">
        <v>19345420</v>
      </c>
      <c r="L34" s="396">
        <v>4535650</v>
      </c>
      <c r="M34" s="396">
        <v>33585703</v>
      </c>
      <c r="N34" s="398"/>
      <c r="O34" s="399"/>
      <c r="P34" s="400">
        <v>10678265</v>
      </c>
      <c r="Q34" s="396"/>
      <c r="R34" s="396">
        <v>1351849</v>
      </c>
      <c r="S34" s="396">
        <v>793000</v>
      </c>
      <c r="T34" s="396"/>
      <c r="U34" s="396"/>
      <c r="V34" s="396"/>
      <c r="W34" s="396"/>
      <c r="X34" s="396">
        <v>16286929</v>
      </c>
      <c r="Y34" s="396">
        <v>7237830</v>
      </c>
      <c r="Z34" s="396">
        <v>33086414</v>
      </c>
      <c r="AA34" s="398"/>
      <c r="AB34" s="401"/>
      <c r="AC34" s="400">
        <v>7796335</v>
      </c>
      <c r="AD34" s="396"/>
      <c r="AE34" s="396">
        <v>1730682</v>
      </c>
      <c r="AF34" s="396">
        <v>1060000</v>
      </c>
      <c r="AG34" s="396"/>
      <c r="AH34" s="396"/>
      <c r="AI34" s="396"/>
      <c r="AJ34" s="396"/>
      <c r="AK34" s="396">
        <v>19373495</v>
      </c>
      <c r="AL34" s="396">
        <v>7008270</v>
      </c>
      <c r="AM34" s="396">
        <v>28796449</v>
      </c>
      <c r="AN34" s="398"/>
      <c r="AO34" s="399"/>
      <c r="AP34" s="400">
        <v>23790134</v>
      </c>
      <c r="AQ34" s="396"/>
      <c r="AR34" s="396">
        <v>1814782</v>
      </c>
      <c r="AS34" s="396">
        <v>982000</v>
      </c>
      <c r="AT34" s="396"/>
      <c r="AU34" s="396"/>
      <c r="AV34" s="396"/>
      <c r="AW34" s="396"/>
      <c r="AX34" s="396">
        <v>21297086</v>
      </c>
      <c r="AY34" s="396">
        <v>6886800</v>
      </c>
      <c r="AZ34" s="396">
        <v>23940534</v>
      </c>
      <c r="BA34" s="398"/>
      <c r="BB34" s="399"/>
      <c r="BC34" s="396">
        <v>22495354.52</v>
      </c>
      <c r="BD34" s="396"/>
      <c r="BE34" s="396">
        <v>2012977</v>
      </c>
      <c r="BF34" s="396">
        <v>783000</v>
      </c>
      <c r="BG34" s="396"/>
      <c r="BH34" s="396"/>
      <c r="BI34" s="396"/>
      <c r="BJ34" s="396"/>
      <c r="BK34" s="396">
        <v>20109377</v>
      </c>
      <c r="BL34" s="396">
        <v>6950000</v>
      </c>
      <c r="BM34" s="396">
        <v>21689215</v>
      </c>
      <c r="BN34" s="402"/>
      <c r="BO34" s="396"/>
      <c r="BP34" s="400">
        <v>21072700</v>
      </c>
      <c r="BQ34" s="396">
        <v>4147846</v>
      </c>
      <c r="BR34" s="396">
        <v>2001578</v>
      </c>
      <c r="BS34" s="396">
        <v>576000</v>
      </c>
      <c r="BT34" s="396">
        <v>2627037</v>
      </c>
      <c r="BU34" s="396">
        <v>2273013</v>
      </c>
      <c r="BV34" s="396"/>
      <c r="BW34" s="396"/>
      <c r="BX34" s="396">
        <v>22194847</v>
      </c>
      <c r="BY34" s="396">
        <v>5894366</v>
      </c>
      <c r="BZ34" s="396">
        <v>20784789</v>
      </c>
      <c r="CA34" s="403">
        <v>35460214</v>
      </c>
      <c r="CB34" s="396"/>
      <c r="CC34" s="399">
        <v>2159056</v>
      </c>
    </row>
    <row r="35" spans="1:81" x14ac:dyDescent="0.3">
      <c r="A35" s="394"/>
      <c r="B35" s="395" t="s">
        <v>219</v>
      </c>
      <c r="C35" s="396">
        <v>6311606</v>
      </c>
      <c r="D35" s="396"/>
      <c r="E35" s="396"/>
      <c r="F35" s="396">
        <v>315000</v>
      </c>
      <c r="G35" s="396"/>
      <c r="H35" s="396"/>
      <c r="I35" s="396"/>
      <c r="J35" s="396"/>
      <c r="K35" s="397">
        <v>585522</v>
      </c>
      <c r="L35" s="396">
        <v>2962590</v>
      </c>
      <c r="M35" s="396">
        <v>0</v>
      </c>
      <c r="N35" s="398"/>
      <c r="O35" s="399"/>
      <c r="P35" s="400">
        <v>3412618</v>
      </c>
      <c r="Q35" s="396"/>
      <c r="R35" s="396"/>
      <c r="S35" s="396">
        <v>367000</v>
      </c>
      <c r="T35" s="396"/>
      <c r="U35" s="396"/>
      <c r="V35" s="396"/>
      <c r="W35" s="396"/>
      <c r="X35" s="396">
        <v>170758</v>
      </c>
      <c r="Y35" s="396"/>
      <c r="Z35" s="396">
        <v>0</v>
      </c>
      <c r="AA35" s="398"/>
      <c r="AB35" s="401"/>
      <c r="AC35" s="400">
        <v>875785</v>
      </c>
      <c r="AD35" s="396"/>
      <c r="AE35" s="396"/>
      <c r="AF35" s="396">
        <v>262000</v>
      </c>
      <c r="AG35" s="396"/>
      <c r="AH35" s="396"/>
      <c r="AI35" s="396"/>
      <c r="AJ35" s="396"/>
      <c r="AK35" s="396">
        <v>424485</v>
      </c>
      <c r="AL35" s="396"/>
      <c r="AM35" s="396">
        <v>0</v>
      </c>
      <c r="AN35" s="398"/>
      <c r="AO35" s="399"/>
      <c r="AP35" s="400">
        <v>300639</v>
      </c>
      <c r="AQ35" s="396"/>
      <c r="AR35" s="396"/>
      <c r="AS35" s="396">
        <v>245000</v>
      </c>
      <c r="AT35" s="396"/>
      <c r="AU35" s="396"/>
      <c r="AV35" s="396"/>
      <c r="AW35" s="396"/>
      <c r="AX35" s="396">
        <v>687018</v>
      </c>
      <c r="AY35" s="396"/>
      <c r="AZ35" s="396">
        <v>0</v>
      </c>
      <c r="BA35" s="398"/>
      <c r="BB35" s="399"/>
      <c r="BC35" s="396">
        <v>0</v>
      </c>
      <c r="BD35" s="396"/>
      <c r="BE35" s="396"/>
      <c r="BF35" s="396">
        <v>0</v>
      </c>
      <c r="BG35" s="396"/>
      <c r="BH35" s="396"/>
      <c r="BI35" s="396"/>
      <c r="BJ35" s="396"/>
      <c r="BK35" s="396">
        <v>589957</v>
      </c>
      <c r="BL35" s="396"/>
      <c r="BM35" s="396">
        <v>0</v>
      </c>
      <c r="BN35" s="402"/>
      <c r="BO35" s="396"/>
      <c r="BP35" s="400">
        <v>0</v>
      </c>
      <c r="BQ35" s="396">
        <v>0</v>
      </c>
      <c r="BR35" s="396"/>
      <c r="BS35" s="396">
        <v>0</v>
      </c>
      <c r="BT35" s="396"/>
      <c r="BU35" s="396">
        <v>0</v>
      </c>
      <c r="BV35" s="396"/>
      <c r="BW35" s="396"/>
      <c r="BX35" s="396">
        <v>623865</v>
      </c>
      <c r="BY35" s="396"/>
      <c r="BZ35" s="396">
        <v>0</v>
      </c>
      <c r="CA35" s="403"/>
      <c r="CB35" s="396"/>
      <c r="CC35" s="399">
        <v>0</v>
      </c>
    </row>
    <row r="36" spans="1:81" x14ac:dyDescent="0.3">
      <c r="A36" s="394"/>
      <c r="B36" s="395" t="s">
        <v>220</v>
      </c>
      <c r="C36" s="396">
        <v>9187578</v>
      </c>
      <c r="D36" s="396"/>
      <c r="E36" s="396"/>
      <c r="F36" s="396">
        <v>147000</v>
      </c>
      <c r="G36" s="396"/>
      <c r="H36" s="396"/>
      <c r="I36" s="396"/>
      <c r="J36" s="396"/>
      <c r="K36" s="397">
        <v>2287885</v>
      </c>
      <c r="L36" s="396"/>
      <c r="M36" s="396">
        <v>0</v>
      </c>
      <c r="N36" s="398"/>
      <c r="O36" s="399"/>
      <c r="P36" s="400">
        <v>17147594</v>
      </c>
      <c r="Q36" s="396"/>
      <c r="R36" s="396">
        <v>5003836</v>
      </c>
      <c r="S36" s="396">
        <v>141000</v>
      </c>
      <c r="T36" s="396"/>
      <c r="U36" s="396"/>
      <c r="V36" s="396"/>
      <c r="W36" s="396"/>
      <c r="X36" s="396">
        <v>4739264</v>
      </c>
      <c r="Y36" s="396"/>
      <c r="Z36" s="396">
        <v>0</v>
      </c>
      <c r="AA36" s="398"/>
      <c r="AB36" s="401"/>
      <c r="AC36" s="400">
        <v>23916160</v>
      </c>
      <c r="AD36" s="396"/>
      <c r="AE36" s="396">
        <v>4349489</v>
      </c>
      <c r="AF36" s="396">
        <v>96200</v>
      </c>
      <c r="AG36" s="396"/>
      <c r="AH36" s="396"/>
      <c r="AI36" s="396"/>
      <c r="AJ36" s="396"/>
      <c r="AK36" s="396">
        <v>2434521</v>
      </c>
      <c r="AL36" s="396"/>
      <c r="AM36" s="396">
        <v>0</v>
      </c>
      <c r="AN36" s="398"/>
      <c r="AO36" s="399"/>
      <c r="AP36" s="400">
        <v>5220112</v>
      </c>
      <c r="AQ36" s="396"/>
      <c r="AR36" s="396">
        <v>4027176</v>
      </c>
      <c r="AS36" s="396">
        <v>1010</v>
      </c>
      <c r="AT36" s="396"/>
      <c r="AU36" s="396"/>
      <c r="AV36" s="396"/>
      <c r="AW36" s="396"/>
      <c r="AX36" s="396">
        <v>171754</v>
      </c>
      <c r="AY36" s="396"/>
      <c r="AZ36" s="396">
        <v>0</v>
      </c>
      <c r="BA36" s="398"/>
      <c r="BB36" s="399"/>
      <c r="BC36" s="396">
        <v>4516578.51</v>
      </c>
      <c r="BD36" s="396"/>
      <c r="BE36" s="396">
        <v>3660936</v>
      </c>
      <c r="BF36" s="396">
        <v>12000</v>
      </c>
      <c r="BG36" s="396"/>
      <c r="BH36" s="396"/>
      <c r="BI36" s="396"/>
      <c r="BJ36" s="396"/>
      <c r="BK36" s="396">
        <v>689722</v>
      </c>
      <c r="BL36" s="396"/>
      <c r="BM36" s="396">
        <v>0</v>
      </c>
      <c r="BN36" s="402"/>
      <c r="BO36" s="396"/>
      <c r="BP36" s="400">
        <v>2382963</v>
      </c>
      <c r="BQ36" s="396">
        <v>0</v>
      </c>
      <c r="BR36" s="396">
        <v>3763545</v>
      </c>
      <c r="BS36" s="396">
        <v>89900</v>
      </c>
      <c r="BT36" s="396"/>
      <c r="BU36" s="396">
        <v>298834</v>
      </c>
      <c r="BV36" s="396"/>
      <c r="BW36" s="396"/>
      <c r="BX36" s="396">
        <v>779830</v>
      </c>
      <c r="BY36" s="396"/>
      <c r="BZ36" s="396">
        <v>0</v>
      </c>
      <c r="CA36" s="403">
        <v>27040</v>
      </c>
      <c r="CB36" s="396"/>
      <c r="CC36" s="399">
        <v>109086</v>
      </c>
    </row>
    <row r="37" spans="1:81" x14ac:dyDescent="0.3">
      <c r="A37" s="394"/>
      <c r="B37" s="395" t="s">
        <v>221</v>
      </c>
      <c r="C37" s="396"/>
      <c r="D37" s="396"/>
      <c r="E37" s="396"/>
      <c r="F37" s="396">
        <v>0</v>
      </c>
      <c r="G37" s="396"/>
      <c r="H37" s="396"/>
      <c r="I37" s="396"/>
      <c r="J37" s="396"/>
      <c r="K37" s="397">
        <v>0</v>
      </c>
      <c r="L37" s="396"/>
      <c r="M37" s="396">
        <v>0</v>
      </c>
      <c r="N37" s="398"/>
      <c r="O37" s="399"/>
      <c r="P37" s="400"/>
      <c r="Q37" s="396"/>
      <c r="R37" s="396"/>
      <c r="S37" s="396">
        <v>0</v>
      </c>
      <c r="T37" s="396"/>
      <c r="U37" s="396"/>
      <c r="V37" s="396"/>
      <c r="W37" s="396"/>
      <c r="X37" s="396">
        <v>0</v>
      </c>
      <c r="Y37" s="396"/>
      <c r="Z37" s="396">
        <v>0</v>
      </c>
      <c r="AA37" s="398"/>
      <c r="AB37" s="401"/>
      <c r="AC37" s="400"/>
      <c r="AD37" s="396"/>
      <c r="AE37" s="396"/>
      <c r="AF37" s="396">
        <v>0</v>
      </c>
      <c r="AG37" s="396"/>
      <c r="AH37" s="396"/>
      <c r="AI37" s="396"/>
      <c r="AJ37" s="396"/>
      <c r="AK37" s="396">
        <v>0</v>
      </c>
      <c r="AL37" s="396"/>
      <c r="AM37" s="396">
        <v>0</v>
      </c>
      <c r="AN37" s="398"/>
      <c r="AO37" s="399"/>
      <c r="AP37" s="400"/>
      <c r="AQ37" s="396"/>
      <c r="AR37" s="396"/>
      <c r="AS37" s="396">
        <v>0</v>
      </c>
      <c r="AT37" s="396"/>
      <c r="AU37" s="396"/>
      <c r="AV37" s="396"/>
      <c r="AW37" s="396"/>
      <c r="AX37" s="396">
        <v>0</v>
      </c>
      <c r="AY37" s="396"/>
      <c r="AZ37" s="396">
        <v>0</v>
      </c>
      <c r="BA37" s="398"/>
      <c r="BB37" s="399"/>
      <c r="BC37" s="396"/>
      <c r="BD37" s="396"/>
      <c r="BE37" s="396"/>
      <c r="BF37" s="396">
        <v>0</v>
      </c>
      <c r="BG37" s="396"/>
      <c r="BH37" s="396"/>
      <c r="BI37" s="396"/>
      <c r="BJ37" s="396"/>
      <c r="BK37" s="396">
        <v>0</v>
      </c>
      <c r="BL37" s="396"/>
      <c r="BM37" s="396">
        <v>0</v>
      </c>
      <c r="BN37" s="402"/>
      <c r="BO37" s="396"/>
      <c r="BP37" s="400"/>
      <c r="BQ37" s="396">
        <v>0</v>
      </c>
      <c r="BR37" s="396"/>
      <c r="BS37" s="396">
        <v>0</v>
      </c>
      <c r="BT37" s="396"/>
      <c r="BU37" s="396">
        <v>0</v>
      </c>
      <c r="BV37" s="396"/>
      <c r="BW37" s="396"/>
      <c r="BX37" s="396">
        <v>0</v>
      </c>
      <c r="BY37" s="396"/>
      <c r="BZ37" s="396">
        <v>0</v>
      </c>
      <c r="CA37" s="403"/>
      <c r="CB37" s="396"/>
      <c r="CC37" s="399">
        <v>0</v>
      </c>
    </row>
    <row r="38" spans="1:81" x14ac:dyDescent="0.3">
      <c r="A38" s="394"/>
      <c r="B38" s="395" t="s">
        <v>222</v>
      </c>
      <c r="C38" s="396">
        <v>5541556</v>
      </c>
      <c r="D38" s="396"/>
      <c r="E38" s="396"/>
      <c r="F38" s="396">
        <v>3270000</v>
      </c>
      <c r="G38" s="396"/>
      <c r="H38" s="396"/>
      <c r="I38" s="396"/>
      <c r="J38" s="396"/>
      <c r="K38" s="397">
        <v>3029698</v>
      </c>
      <c r="L38" s="396"/>
      <c r="M38" s="396">
        <v>0</v>
      </c>
      <c r="N38" s="398"/>
      <c r="O38" s="399"/>
      <c r="P38" s="400">
        <v>4851186</v>
      </c>
      <c r="Q38" s="396"/>
      <c r="R38" s="396"/>
      <c r="S38" s="396">
        <v>3010000</v>
      </c>
      <c r="T38" s="396"/>
      <c r="U38" s="396"/>
      <c r="V38" s="396"/>
      <c r="W38" s="396"/>
      <c r="X38" s="396">
        <v>4012243</v>
      </c>
      <c r="Y38" s="396"/>
      <c r="Z38" s="396">
        <v>0</v>
      </c>
      <c r="AA38" s="398"/>
      <c r="AB38" s="401"/>
      <c r="AC38" s="400">
        <v>4940536</v>
      </c>
      <c r="AD38" s="396"/>
      <c r="AE38" s="396"/>
      <c r="AF38" s="396">
        <v>3120000</v>
      </c>
      <c r="AG38" s="396"/>
      <c r="AH38" s="396"/>
      <c r="AI38" s="396"/>
      <c r="AJ38" s="396"/>
      <c r="AK38" s="396">
        <v>4790102</v>
      </c>
      <c r="AL38" s="396"/>
      <c r="AM38" s="396">
        <v>0</v>
      </c>
      <c r="AN38" s="398"/>
      <c r="AO38" s="399"/>
      <c r="AP38" s="400">
        <v>4196362</v>
      </c>
      <c r="AQ38" s="396"/>
      <c r="AR38" s="396"/>
      <c r="AS38" s="396">
        <v>3270000</v>
      </c>
      <c r="AT38" s="396"/>
      <c r="AU38" s="396"/>
      <c r="AV38" s="396"/>
      <c r="AW38" s="396"/>
      <c r="AX38" s="396">
        <v>5095984</v>
      </c>
      <c r="AY38" s="396"/>
      <c r="AZ38" s="396">
        <v>0</v>
      </c>
      <c r="BA38" s="398"/>
      <c r="BB38" s="399"/>
      <c r="BC38" s="396">
        <v>2970733</v>
      </c>
      <c r="BD38" s="396"/>
      <c r="BE38" s="396"/>
      <c r="BF38" s="396">
        <v>1950000</v>
      </c>
      <c r="BG38" s="396"/>
      <c r="BH38" s="396"/>
      <c r="BI38" s="396"/>
      <c r="BJ38" s="396"/>
      <c r="BK38" s="396">
        <v>2310224</v>
      </c>
      <c r="BL38" s="396"/>
      <c r="BM38" s="396">
        <v>0</v>
      </c>
      <c r="BN38" s="402"/>
      <c r="BO38" s="396"/>
      <c r="BP38" s="400">
        <v>1925260</v>
      </c>
      <c r="BQ38" s="396">
        <v>0</v>
      </c>
      <c r="BR38" s="396"/>
      <c r="BS38" s="396">
        <v>1750000</v>
      </c>
      <c r="BT38" s="396">
        <v>975961</v>
      </c>
      <c r="BU38" s="396">
        <v>0</v>
      </c>
      <c r="BV38" s="396"/>
      <c r="BW38" s="396"/>
      <c r="BX38" s="396">
        <v>4672763</v>
      </c>
      <c r="BY38" s="396"/>
      <c r="BZ38" s="396">
        <v>0</v>
      </c>
      <c r="CA38" s="403"/>
      <c r="CB38" s="396"/>
      <c r="CC38" s="399">
        <v>1848832</v>
      </c>
    </row>
    <row r="39" spans="1:81" x14ac:dyDescent="0.3">
      <c r="A39" s="394"/>
      <c r="B39" s="395" t="s">
        <v>223</v>
      </c>
      <c r="C39" s="396">
        <v>519056.93596480001</v>
      </c>
      <c r="D39" s="396"/>
      <c r="E39" s="396"/>
      <c r="F39" s="396">
        <v>0</v>
      </c>
      <c r="G39" s="396"/>
      <c r="H39" s="396"/>
      <c r="I39" s="396"/>
      <c r="J39" s="396"/>
      <c r="K39" s="397">
        <v>3406883</v>
      </c>
      <c r="L39" s="396">
        <v>800000</v>
      </c>
      <c r="M39" s="396">
        <v>0</v>
      </c>
      <c r="N39" s="398"/>
      <c r="O39" s="399"/>
      <c r="P39" s="400">
        <v>502085.82884959993</v>
      </c>
      <c r="Q39" s="396"/>
      <c r="R39" s="396">
        <v>778448</v>
      </c>
      <c r="S39" s="396">
        <v>0</v>
      </c>
      <c r="T39" s="396"/>
      <c r="U39" s="396"/>
      <c r="V39" s="396"/>
      <c r="W39" s="396"/>
      <c r="X39" s="396">
        <v>15511962</v>
      </c>
      <c r="Y39" s="396">
        <v>809799</v>
      </c>
      <c r="Z39" s="396">
        <v>0</v>
      </c>
      <c r="AA39" s="398"/>
      <c r="AB39" s="401"/>
      <c r="AC39" s="400">
        <v>525236.41533920006</v>
      </c>
      <c r="AD39" s="396"/>
      <c r="AE39" s="396">
        <v>2031829</v>
      </c>
      <c r="AF39" s="396">
        <v>0</v>
      </c>
      <c r="AG39" s="396"/>
      <c r="AH39" s="396"/>
      <c r="AI39" s="396"/>
      <c r="AJ39" s="396"/>
      <c r="AK39" s="396">
        <v>17815592</v>
      </c>
      <c r="AL39" s="396">
        <v>846547</v>
      </c>
      <c r="AM39" s="396">
        <v>19737893</v>
      </c>
      <c r="AN39" s="398"/>
      <c r="AO39" s="399"/>
      <c r="AP39" s="400">
        <v>519856.04491359997</v>
      </c>
      <c r="AQ39" s="396"/>
      <c r="AR39" s="396">
        <v>2720450</v>
      </c>
      <c r="AS39" s="396">
        <v>0</v>
      </c>
      <c r="AT39" s="396"/>
      <c r="AU39" s="396"/>
      <c r="AV39" s="396"/>
      <c r="AW39" s="396"/>
      <c r="AX39" s="396">
        <v>18276854</v>
      </c>
      <c r="AY39" s="396">
        <v>765712</v>
      </c>
      <c r="AZ39" s="396">
        <v>32796307</v>
      </c>
      <c r="BA39" s="398"/>
      <c r="BB39" s="399"/>
      <c r="BC39" s="396">
        <v>490100.15804913599</v>
      </c>
      <c r="BD39" s="396"/>
      <c r="BE39" s="396">
        <v>2866680</v>
      </c>
      <c r="BF39" s="396">
        <v>0</v>
      </c>
      <c r="BG39" s="396"/>
      <c r="BH39" s="396"/>
      <c r="BI39" s="396"/>
      <c r="BJ39" s="396"/>
      <c r="BK39" s="396">
        <v>18700742</v>
      </c>
      <c r="BL39" s="396">
        <v>980000</v>
      </c>
      <c r="BM39" s="396">
        <v>34929113</v>
      </c>
      <c r="BN39" s="402"/>
      <c r="BO39" s="396"/>
      <c r="BP39" s="400">
        <v>452098000.66503602</v>
      </c>
      <c r="BQ39" s="396">
        <v>460823</v>
      </c>
      <c r="BR39" s="396">
        <v>2775315</v>
      </c>
      <c r="BS39" s="396">
        <v>3940000</v>
      </c>
      <c r="BT39" s="396">
        <v>796401</v>
      </c>
      <c r="BU39" s="396">
        <v>11449624</v>
      </c>
      <c r="BV39" s="396"/>
      <c r="BW39" s="396"/>
      <c r="BX39" s="396">
        <v>19496463</v>
      </c>
      <c r="BY39" s="396">
        <v>4732365</v>
      </c>
      <c r="BZ39" s="396">
        <v>46546022</v>
      </c>
      <c r="CA39" s="403">
        <v>10834407</v>
      </c>
      <c r="CB39" s="396"/>
      <c r="CC39" s="399">
        <v>461163</v>
      </c>
    </row>
    <row r="40" spans="1:81" x14ac:dyDescent="0.3">
      <c r="A40" s="394"/>
      <c r="B40" s="395" t="s">
        <v>224</v>
      </c>
      <c r="C40" s="396"/>
      <c r="D40" s="396"/>
      <c r="E40" s="396"/>
      <c r="F40" s="396">
        <v>0</v>
      </c>
      <c r="G40" s="396"/>
      <c r="H40" s="396"/>
      <c r="I40" s="396"/>
      <c r="J40" s="396"/>
      <c r="K40" s="397"/>
      <c r="L40" s="396"/>
      <c r="M40" s="396">
        <v>0</v>
      </c>
      <c r="N40" s="398"/>
      <c r="O40" s="399"/>
      <c r="P40" s="400"/>
      <c r="Q40" s="396"/>
      <c r="R40" s="396"/>
      <c r="S40" s="396">
        <v>0</v>
      </c>
      <c r="T40" s="396"/>
      <c r="U40" s="396"/>
      <c r="V40" s="396"/>
      <c r="W40" s="396"/>
      <c r="X40" s="396"/>
      <c r="Y40" s="396"/>
      <c r="Z40" s="396">
        <v>0</v>
      </c>
      <c r="AA40" s="398"/>
      <c r="AB40" s="401"/>
      <c r="AC40" s="400"/>
      <c r="AD40" s="396"/>
      <c r="AE40" s="396"/>
      <c r="AF40" s="396">
        <v>0</v>
      </c>
      <c r="AG40" s="396"/>
      <c r="AH40" s="396"/>
      <c r="AI40" s="396"/>
      <c r="AJ40" s="396"/>
      <c r="AK40" s="396"/>
      <c r="AL40" s="396"/>
      <c r="AM40" s="396">
        <v>0</v>
      </c>
      <c r="AN40" s="398"/>
      <c r="AO40" s="399"/>
      <c r="AP40" s="400"/>
      <c r="AQ40" s="396"/>
      <c r="AR40" s="396"/>
      <c r="AS40" s="396">
        <v>0</v>
      </c>
      <c r="AT40" s="396"/>
      <c r="AU40" s="396"/>
      <c r="AV40" s="396"/>
      <c r="AW40" s="396"/>
      <c r="AX40" s="396"/>
      <c r="AY40" s="396"/>
      <c r="AZ40" s="396">
        <v>0</v>
      </c>
      <c r="BA40" s="398"/>
      <c r="BB40" s="399"/>
      <c r="BC40" s="396"/>
      <c r="BD40" s="396"/>
      <c r="BE40" s="396"/>
      <c r="BF40" s="396">
        <v>0</v>
      </c>
      <c r="BG40" s="396"/>
      <c r="BH40" s="396"/>
      <c r="BI40" s="396"/>
      <c r="BJ40" s="396"/>
      <c r="BK40" s="396"/>
      <c r="BL40" s="396"/>
      <c r="BM40" s="396">
        <v>0</v>
      </c>
      <c r="BN40" s="402"/>
      <c r="BO40" s="396"/>
      <c r="BP40" s="400"/>
      <c r="BQ40" s="396">
        <v>0</v>
      </c>
      <c r="BR40" s="396"/>
      <c r="BS40" s="396">
        <v>0</v>
      </c>
      <c r="BT40" s="396"/>
      <c r="BU40" s="396"/>
      <c r="BV40" s="396"/>
      <c r="BW40" s="396"/>
      <c r="BX40" s="396"/>
      <c r="BY40" s="396"/>
      <c r="BZ40" s="396">
        <v>0</v>
      </c>
      <c r="CA40" s="403"/>
      <c r="CB40" s="396"/>
      <c r="CC40" s="399">
        <v>422152</v>
      </c>
    </row>
    <row r="41" spans="1:81" x14ac:dyDescent="0.3">
      <c r="B41" s="393"/>
      <c r="C41" s="4"/>
      <c r="D41" s="4"/>
      <c r="E41" s="4"/>
      <c r="F41" s="4"/>
      <c r="G41" s="4"/>
      <c r="H41" s="4"/>
      <c r="I41" s="410"/>
      <c r="J41" s="4"/>
      <c r="K41" s="34"/>
      <c r="L41" s="4"/>
      <c r="M41" s="4"/>
      <c r="N41" s="16"/>
      <c r="O41" s="30"/>
      <c r="P41" s="18"/>
      <c r="Q41" s="4"/>
      <c r="R41" s="4"/>
      <c r="S41" s="4"/>
      <c r="T41" s="4"/>
      <c r="U41" s="4"/>
      <c r="V41" s="410"/>
      <c r="W41" s="4"/>
      <c r="X41" s="4"/>
      <c r="Y41" s="4"/>
      <c r="Z41" s="4"/>
      <c r="AA41" s="16"/>
      <c r="AB41" s="31"/>
      <c r="AC41" s="18"/>
      <c r="AD41" s="4"/>
      <c r="AE41" s="4"/>
      <c r="AF41" s="4"/>
      <c r="AG41" s="4"/>
      <c r="AH41" s="4"/>
      <c r="AI41" s="410"/>
      <c r="AJ41" s="4"/>
      <c r="AK41" s="4"/>
      <c r="AL41" s="4"/>
      <c r="AM41" s="4"/>
      <c r="AN41" s="16"/>
      <c r="AO41" s="30"/>
      <c r="AP41" s="18"/>
      <c r="AQ41" s="4"/>
      <c r="AR41" s="4"/>
      <c r="AS41" s="4"/>
      <c r="AT41" s="4"/>
      <c r="AU41" s="4"/>
      <c r="AV41" s="410"/>
      <c r="AW41" s="4"/>
      <c r="AX41" s="4"/>
      <c r="AY41" s="4"/>
      <c r="AZ41" s="4"/>
      <c r="BA41" s="16"/>
      <c r="BB41" s="30"/>
      <c r="BC41" s="4"/>
      <c r="BD41" s="4"/>
      <c r="BE41" s="4"/>
      <c r="BF41" s="4"/>
      <c r="BG41" s="4"/>
      <c r="BH41" s="4"/>
      <c r="BI41" s="410"/>
      <c r="BJ41" s="4"/>
      <c r="BK41" s="4"/>
      <c r="BL41" s="4"/>
      <c r="BM41" s="4"/>
      <c r="BN41" s="377"/>
      <c r="BO41" s="4"/>
      <c r="BP41" s="18"/>
      <c r="BQ41" s="4"/>
      <c r="BR41" s="4"/>
      <c r="BS41" s="4"/>
      <c r="BT41" s="4"/>
      <c r="BU41" s="4"/>
      <c r="BV41" s="4"/>
      <c r="BW41" s="4"/>
      <c r="BX41" s="4"/>
      <c r="BY41" s="4"/>
      <c r="BZ41" s="4"/>
      <c r="CA41" s="11"/>
      <c r="CB41" s="4"/>
      <c r="CC41" s="30"/>
    </row>
    <row r="42" spans="1:81" x14ac:dyDescent="0.3">
      <c r="B42" s="393"/>
      <c r="C42" s="4"/>
      <c r="D42" s="4"/>
      <c r="E42" s="4"/>
      <c r="F42" s="4"/>
      <c r="G42" s="4"/>
      <c r="H42" s="4"/>
      <c r="I42" s="410"/>
      <c r="J42" s="4"/>
      <c r="K42" s="34"/>
      <c r="L42" s="4"/>
      <c r="M42" s="4"/>
      <c r="N42" s="16"/>
      <c r="O42" s="30"/>
      <c r="P42" s="18"/>
      <c r="Q42" s="4"/>
      <c r="R42" s="4"/>
      <c r="S42" s="4"/>
      <c r="T42" s="4"/>
      <c r="U42" s="4"/>
      <c r="V42" s="410"/>
      <c r="W42" s="4"/>
      <c r="X42" s="4"/>
      <c r="Y42" s="4"/>
      <c r="Z42" s="4"/>
      <c r="AA42" s="16"/>
      <c r="AB42" s="31"/>
      <c r="AC42" s="18"/>
      <c r="AD42" s="4"/>
      <c r="AE42" s="4"/>
      <c r="AF42" s="4"/>
      <c r="AG42" s="4"/>
      <c r="AH42" s="4"/>
      <c r="AI42" s="410"/>
      <c r="AJ42" s="4"/>
      <c r="AK42" s="4"/>
      <c r="AL42" s="4"/>
      <c r="AM42" s="4"/>
      <c r="AN42" s="16"/>
      <c r="AO42" s="30"/>
      <c r="AP42" s="18"/>
      <c r="AQ42" s="4"/>
      <c r="AR42" s="4"/>
      <c r="AS42" s="4"/>
      <c r="AT42" s="4"/>
      <c r="AU42" s="4"/>
      <c r="AV42" s="410"/>
      <c r="AW42" s="4"/>
      <c r="AX42" s="4"/>
      <c r="AY42" s="4"/>
      <c r="AZ42" s="4"/>
      <c r="BA42" s="16"/>
      <c r="BB42" s="30"/>
      <c r="BC42" s="4"/>
      <c r="BD42" s="4"/>
      <c r="BE42" s="4"/>
      <c r="BF42" s="4"/>
      <c r="BG42" s="4"/>
      <c r="BH42" s="4"/>
      <c r="BI42" s="410"/>
      <c r="BJ42" s="4"/>
      <c r="BK42" s="4"/>
      <c r="BL42" s="4"/>
      <c r="BM42" s="4"/>
      <c r="BN42" s="377"/>
      <c r="BO42" s="4"/>
      <c r="BP42" s="18"/>
      <c r="BQ42" s="4"/>
      <c r="BR42" s="4"/>
      <c r="BS42" s="4"/>
      <c r="BT42" s="4"/>
      <c r="BU42" s="4"/>
      <c r="BV42" s="4"/>
      <c r="BW42" s="4"/>
      <c r="BX42" s="4"/>
      <c r="BY42" s="4"/>
      <c r="BZ42" s="4"/>
      <c r="CA42" s="11"/>
      <c r="CB42" s="4"/>
      <c r="CC42" s="30"/>
    </row>
    <row r="43" spans="1:81" x14ac:dyDescent="0.3">
      <c r="B43" s="393"/>
      <c r="C43" s="4"/>
      <c r="D43" s="4"/>
      <c r="E43" s="4"/>
      <c r="F43" s="4"/>
      <c r="G43" s="4"/>
      <c r="H43" s="4"/>
      <c r="I43" s="410"/>
      <c r="J43" s="4"/>
      <c r="K43" s="34"/>
      <c r="L43" s="4"/>
      <c r="M43" s="4"/>
      <c r="N43" s="16"/>
      <c r="O43" s="30"/>
      <c r="P43" s="18"/>
      <c r="Q43" s="4"/>
      <c r="R43" s="4"/>
      <c r="S43" s="4"/>
      <c r="T43" s="4"/>
      <c r="U43" s="4"/>
      <c r="V43" s="410"/>
      <c r="W43" s="4"/>
      <c r="X43" s="4"/>
      <c r="Y43" s="4"/>
      <c r="Z43" s="4"/>
      <c r="AA43" s="16"/>
      <c r="AB43" s="31"/>
      <c r="AC43" s="18"/>
      <c r="AD43" s="4"/>
      <c r="AE43" s="4"/>
      <c r="AF43" s="4"/>
      <c r="AG43" s="4"/>
      <c r="AH43" s="4"/>
      <c r="AI43" s="410"/>
      <c r="AJ43" s="4"/>
      <c r="AK43" s="4"/>
      <c r="AL43" s="4"/>
      <c r="AM43" s="4"/>
      <c r="AN43" s="16"/>
      <c r="AO43" s="30"/>
      <c r="AP43" s="18"/>
      <c r="AQ43" s="4"/>
      <c r="AR43" s="4"/>
      <c r="AS43" s="4"/>
      <c r="AT43" s="4"/>
      <c r="AU43" s="4"/>
      <c r="AV43" s="410"/>
      <c r="AW43" s="4"/>
      <c r="AX43" s="4"/>
      <c r="AY43" s="4"/>
      <c r="AZ43" s="4"/>
      <c r="BA43" s="16"/>
      <c r="BB43" s="30"/>
      <c r="BC43" s="4"/>
      <c r="BD43" s="4"/>
      <c r="BE43" s="4"/>
      <c r="BF43" s="4"/>
      <c r="BG43" s="4"/>
      <c r="BH43" s="4"/>
      <c r="BI43" s="410"/>
      <c r="BJ43" s="4"/>
      <c r="BK43" s="4"/>
      <c r="BL43" s="4"/>
      <c r="BM43" s="4"/>
      <c r="BN43" s="377"/>
      <c r="BO43" s="4"/>
      <c r="BP43" s="18"/>
      <c r="BQ43" s="4"/>
      <c r="BR43" s="4"/>
      <c r="BS43" s="4"/>
      <c r="BT43" s="4"/>
      <c r="BU43" s="4"/>
      <c r="BV43" s="4"/>
      <c r="BW43" s="4"/>
      <c r="BX43" s="4"/>
      <c r="BY43" s="4"/>
      <c r="BZ43" s="4"/>
      <c r="CA43" s="11"/>
      <c r="CB43" s="4"/>
      <c r="CC43" s="30"/>
    </row>
    <row r="44" spans="1:81" x14ac:dyDescent="0.3">
      <c r="B44" s="393"/>
      <c r="C44" s="4"/>
      <c r="D44" s="4"/>
      <c r="E44" s="4"/>
      <c r="F44" s="4"/>
      <c r="G44" s="4"/>
      <c r="H44" s="4"/>
      <c r="I44" s="410"/>
      <c r="J44" s="4"/>
      <c r="K44" s="34"/>
      <c r="L44" s="4"/>
      <c r="M44" s="4"/>
      <c r="N44" s="16"/>
      <c r="O44" s="30"/>
      <c r="P44" s="18"/>
      <c r="Q44" s="4"/>
      <c r="R44" s="4"/>
      <c r="S44" s="4"/>
      <c r="T44" s="4"/>
      <c r="U44" s="4"/>
      <c r="V44" s="410"/>
      <c r="W44" s="4"/>
      <c r="X44" s="4"/>
      <c r="Y44" s="4"/>
      <c r="Z44" s="4"/>
      <c r="AA44" s="16"/>
      <c r="AB44" s="31"/>
      <c r="AC44" s="18"/>
      <c r="AD44" s="4"/>
      <c r="AE44" s="4"/>
      <c r="AF44" s="4"/>
      <c r="AG44" s="4"/>
      <c r="AH44" s="4"/>
      <c r="AI44" s="410"/>
      <c r="AJ44" s="4"/>
      <c r="AK44" s="4"/>
      <c r="AL44" s="4"/>
      <c r="AM44" s="4"/>
      <c r="AN44" s="16"/>
      <c r="AO44" s="30"/>
      <c r="AP44" s="18"/>
      <c r="AQ44" s="4"/>
      <c r="AR44" s="4"/>
      <c r="AS44" s="4"/>
      <c r="AT44" s="4"/>
      <c r="AU44" s="4"/>
      <c r="AV44" s="410"/>
      <c r="AW44" s="4"/>
      <c r="AX44" s="4"/>
      <c r="AY44" s="4"/>
      <c r="AZ44" s="4"/>
      <c r="BA44" s="16"/>
      <c r="BB44" s="30"/>
      <c r="BC44" s="4"/>
      <c r="BD44" s="4"/>
      <c r="BE44" s="4"/>
      <c r="BF44" s="4"/>
      <c r="BG44" s="4"/>
      <c r="BH44" s="4"/>
      <c r="BI44" s="410"/>
      <c r="BJ44" s="4"/>
      <c r="BK44" s="4"/>
      <c r="BL44" s="4"/>
      <c r="BM44" s="4"/>
      <c r="BN44" s="377"/>
      <c r="BO44" s="4"/>
      <c r="BP44" s="18"/>
      <c r="BQ44" s="4"/>
      <c r="BR44" s="4"/>
      <c r="BS44" s="4"/>
      <c r="BT44" s="4"/>
      <c r="BU44" s="4"/>
      <c r="BV44" s="4"/>
      <c r="BW44" s="4"/>
      <c r="BX44" s="4"/>
      <c r="BY44" s="4"/>
      <c r="BZ44" s="4"/>
      <c r="CA44" s="11"/>
      <c r="CB44" s="4"/>
      <c r="CC44" s="30"/>
    </row>
    <row r="45" spans="1:81" x14ac:dyDescent="0.3">
      <c r="B45" s="393"/>
      <c r="C45" s="4"/>
      <c r="D45" s="4"/>
      <c r="E45" s="4"/>
      <c r="F45" s="4"/>
      <c r="G45" s="4"/>
      <c r="H45" s="4"/>
      <c r="I45" s="410"/>
      <c r="J45" s="4"/>
      <c r="K45" s="34"/>
      <c r="L45" s="4"/>
      <c r="M45" s="4"/>
      <c r="N45" s="16"/>
      <c r="O45" s="30"/>
      <c r="P45" s="18"/>
      <c r="Q45" s="4"/>
      <c r="R45" s="4"/>
      <c r="S45" s="4"/>
      <c r="T45" s="4"/>
      <c r="U45" s="4"/>
      <c r="V45" s="410"/>
      <c r="W45" s="4"/>
      <c r="X45" s="4"/>
      <c r="Y45" s="4"/>
      <c r="Z45" s="4"/>
      <c r="AA45" s="16"/>
      <c r="AB45" s="31"/>
      <c r="AC45" s="18"/>
      <c r="AD45" s="4"/>
      <c r="AE45" s="4"/>
      <c r="AF45" s="4"/>
      <c r="AG45" s="4"/>
      <c r="AH45" s="4"/>
      <c r="AI45" s="410"/>
      <c r="AJ45" s="4"/>
      <c r="AK45" s="4"/>
      <c r="AL45" s="4"/>
      <c r="AM45" s="4"/>
      <c r="AN45" s="16"/>
      <c r="AO45" s="30"/>
      <c r="AP45" s="18"/>
      <c r="AQ45" s="4"/>
      <c r="AR45" s="4"/>
      <c r="AS45" s="4"/>
      <c r="AT45" s="4"/>
      <c r="AU45" s="4"/>
      <c r="AV45" s="410"/>
      <c r="AW45" s="4"/>
      <c r="AX45" s="4"/>
      <c r="AY45" s="4"/>
      <c r="AZ45" s="4"/>
      <c r="BA45" s="16"/>
      <c r="BB45" s="30"/>
      <c r="BC45" s="4"/>
      <c r="BD45" s="4"/>
      <c r="BE45" s="4"/>
      <c r="BF45" s="4"/>
      <c r="BG45" s="4"/>
      <c r="BH45" s="4"/>
      <c r="BI45" s="410"/>
      <c r="BJ45" s="4"/>
      <c r="BK45" s="4"/>
      <c r="BL45" s="4"/>
      <c r="BM45" s="4"/>
      <c r="BN45" s="377"/>
      <c r="BO45" s="4"/>
      <c r="BP45" s="18"/>
      <c r="BQ45" s="4"/>
      <c r="BR45" s="4"/>
      <c r="BS45" s="4"/>
      <c r="BT45" s="4"/>
      <c r="BU45" s="4"/>
      <c r="BV45" s="4"/>
      <c r="BW45" s="4"/>
      <c r="BX45" s="4"/>
      <c r="BY45" s="4"/>
      <c r="BZ45" s="4"/>
      <c r="CA45" s="11"/>
      <c r="CB45" s="4"/>
      <c r="CC45" s="30"/>
    </row>
    <row r="46" spans="1:81" x14ac:dyDescent="0.3">
      <c r="B46" s="393"/>
      <c r="C46" s="4"/>
      <c r="D46" s="4"/>
      <c r="E46" s="4"/>
      <c r="F46" s="4"/>
      <c r="G46" s="4"/>
      <c r="H46" s="4"/>
      <c r="I46" s="410"/>
      <c r="J46" s="4"/>
      <c r="K46" s="34"/>
      <c r="L46" s="4"/>
      <c r="M46" s="4"/>
      <c r="N46" s="16"/>
      <c r="O46" s="30"/>
      <c r="P46" s="18"/>
      <c r="Q46" s="4"/>
      <c r="R46" s="4"/>
      <c r="S46" s="4"/>
      <c r="T46" s="4"/>
      <c r="U46" s="4"/>
      <c r="V46" s="410"/>
      <c r="W46" s="4"/>
      <c r="X46" s="4"/>
      <c r="Y46" s="4"/>
      <c r="Z46" s="4"/>
      <c r="AA46" s="16"/>
      <c r="AB46" s="31"/>
      <c r="AC46" s="18"/>
      <c r="AD46" s="4"/>
      <c r="AE46" s="4"/>
      <c r="AF46" s="4"/>
      <c r="AG46" s="4"/>
      <c r="AH46" s="4"/>
      <c r="AI46" s="410"/>
      <c r="AJ46" s="4"/>
      <c r="AK46" s="4"/>
      <c r="AL46" s="4"/>
      <c r="AM46" s="4"/>
      <c r="AN46" s="16"/>
      <c r="AO46" s="30"/>
      <c r="AP46" s="18"/>
      <c r="AQ46" s="4"/>
      <c r="AR46" s="4"/>
      <c r="AS46" s="4"/>
      <c r="AT46" s="4"/>
      <c r="AU46" s="4"/>
      <c r="AV46" s="410"/>
      <c r="AW46" s="4"/>
      <c r="AX46" s="4"/>
      <c r="AY46" s="4"/>
      <c r="AZ46" s="4"/>
      <c r="BA46" s="16"/>
      <c r="BB46" s="30"/>
      <c r="BC46" s="4"/>
      <c r="BD46" s="4"/>
      <c r="BE46" s="4"/>
      <c r="BF46" s="4"/>
      <c r="BG46" s="4"/>
      <c r="BH46" s="4"/>
      <c r="BI46" s="410"/>
      <c r="BJ46" s="4"/>
      <c r="BK46" s="4"/>
      <c r="BL46" s="4"/>
      <c r="BM46" s="4"/>
      <c r="BN46" s="377"/>
      <c r="BO46" s="4"/>
      <c r="BP46" s="18"/>
      <c r="BQ46" s="4"/>
      <c r="BR46" s="4"/>
      <c r="BS46" s="4"/>
      <c r="BT46" s="4"/>
      <c r="BU46" s="4"/>
      <c r="BV46" s="4"/>
      <c r="BW46" s="4"/>
      <c r="BX46" s="4"/>
      <c r="BY46" s="4"/>
      <c r="BZ46" s="4"/>
      <c r="CA46" s="11"/>
      <c r="CB46" s="4"/>
      <c r="CC46" s="30"/>
    </row>
    <row r="47" spans="1:81" x14ac:dyDescent="0.3">
      <c r="B47" s="393"/>
      <c r="C47" s="4"/>
      <c r="D47" s="4"/>
      <c r="E47" s="4"/>
      <c r="F47" s="4"/>
      <c r="G47" s="4"/>
      <c r="H47" s="4"/>
      <c r="I47" s="410"/>
      <c r="J47" s="4"/>
      <c r="K47" s="34"/>
      <c r="L47" s="4"/>
      <c r="M47" s="4"/>
      <c r="N47" s="16"/>
      <c r="O47" s="30"/>
      <c r="P47" s="18"/>
      <c r="Q47" s="4"/>
      <c r="R47" s="4"/>
      <c r="S47" s="4"/>
      <c r="T47" s="4"/>
      <c r="U47" s="4"/>
      <c r="V47" s="410"/>
      <c r="W47" s="4"/>
      <c r="X47" s="4"/>
      <c r="Y47" s="4"/>
      <c r="Z47" s="4"/>
      <c r="AA47" s="16"/>
      <c r="AB47" s="31"/>
      <c r="AC47" s="18"/>
      <c r="AD47" s="4"/>
      <c r="AE47" s="4"/>
      <c r="AF47" s="4"/>
      <c r="AG47" s="4"/>
      <c r="AH47" s="4"/>
      <c r="AI47" s="410"/>
      <c r="AJ47" s="4"/>
      <c r="AK47" s="4"/>
      <c r="AL47" s="4"/>
      <c r="AM47" s="4"/>
      <c r="AN47" s="16"/>
      <c r="AO47" s="30"/>
      <c r="AP47" s="18"/>
      <c r="AQ47" s="4"/>
      <c r="AR47" s="4"/>
      <c r="AS47" s="4"/>
      <c r="AT47" s="4"/>
      <c r="AU47" s="4"/>
      <c r="AV47" s="410"/>
      <c r="AW47" s="4"/>
      <c r="AX47" s="4"/>
      <c r="AY47" s="4"/>
      <c r="AZ47" s="4"/>
      <c r="BA47" s="16"/>
      <c r="BB47" s="30"/>
      <c r="BC47" s="4"/>
      <c r="BD47" s="4"/>
      <c r="BE47" s="4"/>
      <c r="BF47" s="4"/>
      <c r="BG47" s="4"/>
      <c r="BH47" s="4"/>
      <c r="BI47" s="410"/>
      <c r="BJ47" s="4"/>
      <c r="BK47" s="4"/>
      <c r="BL47" s="4"/>
      <c r="BM47" s="4"/>
      <c r="BN47" s="377"/>
      <c r="BO47" s="4"/>
      <c r="BP47" s="18"/>
      <c r="BQ47" s="4"/>
      <c r="BR47" s="4"/>
      <c r="BS47" s="4"/>
      <c r="BT47" s="4"/>
      <c r="BU47" s="4"/>
      <c r="BV47" s="4"/>
      <c r="BW47" s="4"/>
      <c r="BX47" s="4"/>
      <c r="BY47" s="4"/>
      <c r="BZ47" s="4"/>
      <c r="CA47" s="11"/>
      <c r="CB47" s="4"/>
      <c r="CC47" s="30"/>
    </row>
    <row r="48" spans="1:81" x14ac:dyDescent="0.3">
      <c r="B48" s="393"/>
      <c r="C48" s="4"/>
      <c r="D48" s="4"/>
      <c r="E48" s="4"/>
      <c r="F48" s="4"/>
      <c r="G48" s="4"/>
      <c r="H48" s="4"/>
      <c r="I48" s="410"/>
      <c r="J48" s="4"/>
      <c r="K48" s="34"/>
      <c r="L48" s="4"/>
      <c r="M48" s="4"/>
      <c r="N48" s="16"/>
      <c r="O48" s="30"/>
      <c r="P48" s="18"/>
      <c r="Q48" s="4"/>
      <c r="R48" s="4"/>
      <c r="S48" s="4"/>
      <c r="T48" s="4"/>
      <c r="U48" s="4"/>
      <c r="V48" s="410"/>
      <c r="W48" s="4"/>
      <c r="X48" s="4"/>
      <c r="Y48" s="4"/>
      <c r="Z48" s="4"/>
      <c r="AA48" s="16"/>
      <c r="AB48" s="31"/>
      <c r="AC48" s="18"/>
      <c r="AD48" s="4"/>
      <c r="AE48" s="4"/>
      <c r="AF48" s="4"/>
      <c r="AG48" s="4"/>
      <c r="AH48" s="4"/>
      <c r="AI48" s="410"/>
      <c r="AJ48" s="4"/>
      <c r="AK48" s="4"/>
      <c r="AL48" s="4"/>
      <c r="AM48" s="4"/>
      <c r="AN48" s="16"/>
      <c r="AO48" s="30"/>
      <c r="AP48" s="18"/>
      <c r="AQ48" s="4"/>
      <c r="AR48" s="4"/>
      <c r="AS48" s="4"/>
      <c r="AT48" s="4"/>
      <c r="AU48" s="4"/>
      <c r="AV48" s="410"/>
      <c r="AW48" s="4"/>
      <c r="AX48" s="4"/>
      <c r="AY48" s="4"/>
      <c r="AZ48" s="4"/>
      <c r="BA48" s="16"/>
      <c r="BB48" s="30"/>
      <c r="BC48" s="4"/>
      <c r="BD48" s="4"/>
      <c r="BE48" s="4"/>
      <c r="BF48" s="4"/>
      <c r="BG48" s="4"/>
      <c r="BH48" s="4"/>
      <c r="BI48" s="410"/>
      <c r="BJ48" s="4"/>
      <c r="BK48" s="4"/>
      <c r="BL48" s="4"/>
      <c r="BM48" s="4"/>
      <c r="BN48" s="377"/>
      <c r="BO48" s="4"/>
      <c r="BP48" s="18"/>
      <c r="BQ48" s="4"/>
      <c r="BR48" s="4"/>
      <c r="BS48" s="4"/>
      <c r="BT48" s="4"/>
      <c r="BU48" s="4"/>
      <c r="BV48" s="4"/>
      <c r="BW48" s="4"/>
      <c r="BX48" s="4"/>
      <c r="BY48" s="4"/>
      <c r="BZ48" s="4"/>
      <c r="CA48" s="11"/>
      <c r="CB48" s="4"/>
      <c r="CC48" s="30"/>
    </row>
    <row r="49" spans="1:81" x14ac:dyDescent="0.3">
      <c r="B49" s="393"/>
      <c r="C49" s="4"/>
      <c r="D49" s="4"/>
      <c r="E49" s="4"/>
      <c r="F49" s="4"/>
      <c r="G49" s="4"/>
      <c r="H49" s="4"/>
      <c r="I49" s="410"/>
      <c r="J49" s="4"/>
      <c r="K49" s="34"/>
      <c r="L49" s="4"/>
      <c r="M49" s="4"/>
      <c r="N49" s="16"/>
      <c r="O49" s="30"/>
      <c r="P49" s="18"/>
      <c r="Q49" s="4"/>
      <c r="R49" s="4"/>
      <c r="S49" s="4"/>
      <c r="T49" s="4"/>
      <c r="U49" s="4"/>
      <c r="V49" s="410"/>
      <c r="W49" s="4"/>
      <c r="X49" s="4"/>
      <c r="Y49" s="4"/>
      <c r="Z49" s="4"/>
      <c r="AA49" s="16"/>
      <c r="AB49" s="31"/>
      <c r="AC49" s="18"/>
      <c r="AD49" s="4"/>
      <c r="AE49" s="4"/>
      <c r="AF49" s="4"/>
      <c r="AG49" s="4"/>
      <c r="AH49" s="4"/>
      <c r="AI49" s="410"/>
      <c r="AJ49" s="4"/>
      <c r="AK49" s="4"/>
      <c r="AL49" s="4"/>
      <c r="AM49" s="4"/>
      <c r="AN49" s="16"/>
      <c r="AO49" s="30"/>
      <c r="AP49" s="18"/>
      <c r="AQ49" s="4"/>
      <c r="AR49" s="4"/>
      <c r="AS49" s="4"/>
      <c r="AT49" s="4"/>
      <c r="AU49" s="4"/>
      <c r="AV49" s="410"/>
      <c r="AW49" s="4"/>
      <c r="AX49" s="4"/>
      <c r="AY49" s="4"/>
      <c r="AZ49" s="4"/>
      <c r="BA49" s="16"/>
      <c r="BB49" s="30"/>
      <c r="BC49" s="4"/>
      <c r="BD49" s="4"/>
      <c r="BE49" s="4"/>
      <c r="BF49" s="4"/>
      <c r="BG49" s="4"/>
      <c r="BH49" s="4"/>
      <c r="BI49" s="410"/>
      <c r="BJ49" s="4"/>
      <c r="BK49" s="4"/>
      <c r="BL49" s="4"/>
      <c r="BM49" s="4"/>
      <c r="BN49" s="377"/>
      <c r="BO49" s="4"/>
      <c r="BP49" s="18"/>
      <c r="BQ49" s="4"/>
      <c r="BR49" s="4"/>
      <c r="BS49" s="4"/>
      <c r="BT49" s="4"/>
      <c r="BU49" s="4"/>
      <c r="BV49" s="4"/>
      <c r="BW49" s="4"/>
      <c r="BX49" s="4"/>
      <c r="BY49" s="4"/>
      <c r="BZ49" s="4"/>
      <c r="CA49" s="11"/>
      <c r="CB49" s="4"/>
      <c r="CC49" s="30"/>
    </row>
    <row r="50" spans="1:81" x14ac:dyDescent="0.3">
      <c r="B50" s="393"/>
      <c r="C50" s="4"/>
      <c r="D50" s="4"/>
      <c r="E50" s="4"/>
      <c r="F50" s="4"/>
      <c r="G50" s="4"/>
      <c r="H50" s="4"/>
      <c r="I50" s="410"/>
      <c r="J50" s="4"/>
      <c r="K50" s="34"/>
      <c r="L50" s="4"/>
      <c r="M50" s="4"/>
      <c r="N50" s="16"/>
      <c r="O50" s="30"/>
      <c r="P50" s="18"/>
      <c r="Q50" s="4"/>
      <c r="R50" s="4"/>
      <c r="S50" s="4"/>
      <c r="T50" s="4"/>
      <c r="U50" s="4"/>
      <c r="V50" s="410"/>
      <c r="W50" s="4"/>
      <c r="X50" s="4"/>
      <c r="Y50" s="4"/>
      <c r="Z50" s="4"/>
      <c r="AA50" s="16"/>
      <c r="AB50" s="31"/>
      <c r="AC50" s="18"/>
      <c r="AD50" s="4"/>
      <c r="AE50" s="4"/>
      <c r="AF50" s="4"/>
      <c r="AG50" s="4"/>
      <c r="AH50" s="4"/>
      <c r="AI50" s="410"/>
      <c r="AJ50" s="4"/>
      <c r="AK50" s="4"/>
      <c r="AL50" s="4"/>
      <c r="AM50" s="4"/>
      <c r="AN50" s="16"/>
      <c r="AO50" s="30"/>
      <c r="AP50" s="18"/>
      <c r="AQ50" s="4"/>
      <c r="AR50" s="4"/>
      <c r="AS50" s="4"/>
      <c r="AT50" s="4"/>
      <c r="AU50" s="4"/>
      <c r="AV50" s="410"/>
      <c r="AW50" s="4"/>
      <c r="AX50" s="4"/>
      <c r="AY50" s="4"/>
      <c r="AZ50" s="4"/>
      <c r="BA50" s="16"/>
      <c r="BB50" s="30"/>
      <c r="BC50" s="4"/>
      <c r="BD50" s="4"/>
      <c r="BE50" s="4"/>
      <c r="BF50" s="4"/>
      <c r="BG50" s="4"/>
      <c r="BH50" s="4"/>
      <c r="BI50" s="410"/>
      <c r="BJ50" s="4"/>
      <c r="BK50" s="4"/>
      <c r="BL50" s="4"/>
      <c r="BM50" s="4"/>
      <c r="BN50" s="377"/>
      <c r="BO50" s="4"/>
      <c r="BP50" s="18"/>
      <c r="BQ50" s="4"/>
      <c r="BR50" s="4"/>
      <c r="BS50" s="4"/>
      <c r="BT50" s="4"/>
      <c r="BU50" s="4"/>
      <c r="BV50" s="4"/>
      <c r="BW50" s="4"/>
      <c r="BX50" s="4"/>
      <c r="BY50" s="4"/>
      <c r="BZ50" s="4"/>
      <c r="CA50" s="11"/>
      <c r="CB50" s="4"/>
      <c r="CC50" s="30"/>
    </row>
    <row r="51" spans="1:81" x14ac:dyDescent="0.3">
      <c r="B51" s="393"/>
      <c r="C51" s="4"/>
      <c r="D51" s="4"/>
      <c r="E51" s="4"/>
      <c r="F51" s="4"/>
      <c r="G51" s="4"/>
      <c r="H51" s="4"/>
      <c r="I51" s="410"/>
      <c r="J51" s="4"/>
      <c r="K51" s="34"/>
      <c r="L51" s="4"/>
      <c r="M51" s="4"/>
      <c r="N51" s="16"/>
      <c r="O51" s="30"/>
      <c r="P51" s="18"/>
      <c r="Q51" s="4"/>
      <c r="R51" s="4"/>
      <c r="S51" s="4"/>
      <c r="T51" s="4"/>
      <c r="U51" s="4"/>
      <c r="V51" s="410"/>
      <c r="W51" s="4"/>
      <c r="X51" s="4"/>
      <c r="Y51" s="4"/>
      <c r="Z51" s="4"/>
      <c r="AA51" s="16"/>
      <c r="AB51" s="31"/>
      <c r="AC51" s="18"/>
      <c r="AD51" s="4"/>
      <c r="AE51" s="4"/>
      <c r="AF51" s="4"/>
      <c r="AG51" s="4"/>
      <c r="AH51" s="4"/>
      <c r="AI51" s="410"/>
      <c r="AJ51" s="4"/>
      <c r="AK51" s="4"/>
      <c r="AL51" s="4"/>
      <c r="AM51" s="4"/>
      <c r="AN51" s="16"/>
      <c r="AO51" s="30"/>
      <c r="AP51" s="18"/>
      <c r="AQ51" s="4"/>
      <c r="AR51" s="4"/>
      <c r="AS51" s="4"/>
      <c r="AT51" s="4"/>
      <c r="AU51" s="4"/>
      <c r="AV51" s="410"/>
      <c r="AW51" s="4"/>
      <c r="AX51" s="4"/>
      <c r="AY51" s="4"/>
      <c r="AZ51" s="4"/>
      <c r="BA51" s="16"/>
      <c r="BB51" s="30"/>
      <c r="BC51" s="4"/>
      <c r="BD51" s="4"/>
      <c r="BE51" s="4"/>
      <c r="BF51" s="4"/>
      <c r="BG51" s="4"/>
      <c r="BH51" s="4"/>
      <c r="BI51" s="410"/>
      <c r="BJ51" s="4"/>
      <c r="BK51" s="4"/>
      <c r="BL51" s="4"/>
      <c r="BM51" s="4"/>
      <c r="BN51" s="377"/>
      <c r="BO51" s="4"/>
      <c r="BP51" s="18"/>
      <c r="BQ51" s="4"/>
      <c r="BR51" s="4"/>
      <c r="BS51" s="4"/>
      <c r="BT51" s="4"/>
      <c r="BU51" s="4"/>
      <c r="BV51" s="4"/>
      <c r="BW51" s="4"/>
      <c r="BX51" s="4"/>
      <c r="BY51" s="4"/>
      <c r="BZ51" s="4"/>
      <c r="CA51" s="11"/>
      <c r="CB51" s="4"/>
      <c r="CC51" s="30"/>
    </row>
    <row r="52" spans="1:81" x14ac:dyDescent="0.3">
      <c r="B52" s="393"/>
      <c r="C52" s="4"/>
      <c r="D52" s="4"/>
      <c r="E52" s="4"/>
      <c r="F52" s="4"/>
      <c r="G52" s="4"/>
      <c r="H52" s="4"/>
      <c r="I52" s="410"/>
      <c r="J52" s="4"/>
      <c r="K52" s="34"/>
      <c r="L52" s="4"/>
      <c r="M52" s="4"/>
      <c r="N52" s="16"/>
      <c r="O52" s="30"/>
      <c r="P52" s="18"/>
      <c r="Q52" s="4"/>
      <c r="R52" s="4"/>
      <c r="S52" s="4"/>
      <c r="T52" s="4"/>
      <c r="U52" s="4"/>
      <c r="V52" s="410"/>
      <c r="W52" s="4"/>
      <c r="X52" s="4"/>
      <c r="Y52" s="4"/>
      <c r="Z52" s="4"/>
      <c r="AA52" s="16"/>
      <c r="AB52" s="31"/>
      <c r="AC52" s="18"/>
      <c r="AD52" s="4"/>
      <c r="AE52" s="4"/>
      <c r="AF52" s="4"/>
      <c r="AG52" s="4"/>
      <c r="AH52" s="4"/>
      <c r="AI52" s="410"/>
      <c r="AJ52" s="4"/>
      <c r="AK52" s="4"/>
      <c r="AL52" s="4"/>
      <c r="AM52" s="4"/>
      <c r="AN52" s="16"/>
      <c r="AO52" s="30"/>
      <c r="AP52" s="18"/>
      <c r="AQ52" s="4"/>
      <c r="AR52" s="4"/>
      <c r="AS52" s="4"/>
      <c r="AT52" s="4"/>
      <c r="AU52" s="4"/>
      <c r="AV52" s="410"/>
      <c r="AW52" s="4"/>
      <c r="AX52" s="4"/>
      <c r="AY52" s="4"/>
      <c r="AZ52" s="4"/>
      <c r="BA52" s="16"/>
      <c r="BB52" s="30"/>
      <c r="BC52" s="4"/>
      <c r="BD52" s="4"/>
      <c r="BE52" s="4"/>
      <c r="BF52" s="4"/>
      <c r="BG52" s="4"/>
      <c r="BH52" s="4"/>
      <c r="BI52" s="410"/>
      <c r="BJ52" s="4"/>
      <c r="BK52" s="4"/>
      <c r="BL52" s="4"/>
      <c r="BM52" s="4"/>
      <c r="BN52" s="377"/>
      <c r="BO52" s="4"/>
      <c r="BP52" s="18"/>
      <c r="BQ52" s="4"/>
      <c r="BR52" s="4"/>
      <c r="BS52" s="4"/>
      <c r="BT52" s="4"/>
      <c r="BU52" s="4"/>
      <c r="BV52" s="4"/>
      <c r="BW52" s="4"/>
      <c r="BX52" s="4"/>
      <c r="BY52" s="4"/>
      <c r="BZ52" s="4"/>
      <c r="CA52" s="11"/>
      <c r="CB52" s="4"/>
      <c r="CC52" s="30"/>
    </row>
    <row r="53" spans="1:81" x14ac:dyDescent="0.3">
      <c r="B53" s="393"/>
      <c r="C53" s="4"/>
      <c r="D53" s="4"/>
      <c r="E53" s="4"/>
      <c r="F53" s="4"/>
      <c r="G53" s="4"/>
      <c r="H53" s="4"/>
      <c r="I53" s="410"/>
      <c r="J53" s="4"/>
      <c r="K53" s="34"/>
      <c r="L53" s="4"/>
      <c r="M53" s="4"/>
      <c r="N53" s="16"/>
      <c r="O53" s="30"/>
      <c r="P53" s="18"/>
      <c r="Q53" s="4"/>
      <c r="R53" s="4"/>
      <c r="S53" s="4"/>
      <c r="T53" s="4"/>
      <c r="U53" s="4"/>
      <c r="V53" s="410"/>
      <c r="W53" s="4"/>
      <c r="X53" s="4"/>
      <c r="Y53" s="4"/>
      <c r="Z53" s="4"/>
      <c r="AA53" s="16"/>
      <c r="AB53" s="31"/>
      <c r="AC53" s="18"/>
      <c r="AD53" s="4"/>
      <c r="AE53" s="4"/>
      <c r="AF53" s="4"/>
      <c r="AG53" s="4"/>
      <c r="AH53" s="4"/>
      <c r="AI53" s="410"/>
      <c r="AJ53" s="4"/>
      <c r="AK53" s="4"/>
      <c r="AL53" s="4"/>
      <c r="AM53" s="4"/>
      <c r="AN53" s="16"/>
      <c r="AO53" s="30"/>
      <c r="AP53" s="18"/>
      <c r="AQ53" s="4"/>
      <c r="AR53" s="4"/>
      <c r="AS53" s="4"/>
      <c r="AT53" s="4"/>
      <c r="AU53" s="4"/>
      <c r="AV53" s="410"/>
      <c r="AW53" s="4"/>
      <c r="AX53" s="4"/>
      <c r="AY53" s="4"/>
      <c r="AZ53" s="4"/>
      <c r="BA53" s="16"/>
      <c r="BB53" s="30"/>
      <c r="BC53" s="4"/>
      <c r="BD53" s="4"/>
      <c r="BE53" s="4"/>
      <c r="BF53" s="4"/>
      <c r="BG53" s="4"/>
      <c r="BH53" s="4"/>
      <c r="BI53" s="410"/>
      <c r="BJ53" s="4"/>
      <c r="BK53" s="4"/>
      <c r="BL53" s="4"/>
      <c r="BM53" s="4"/>
      <c r="BN53" s="377"/>
      <c r="BO53" s="4"/>
      <c r="BP53" s="18"/>
      <c r="BQ53" s="4"/>
      <c r="BR53" s="4"/>
      <c r="BS53" s="4"/>
      <c r="BT53" s="4"/>
      <c r="BU53" s="4"/>
      <c r="BV53" s="4"/>
      <c r="BW53" s="4"/>
      <c r="BX53" s="4"/>
      <c r="BY53" s="4"/>
      <c r="BZ53" s="4"/>
      <c r="CA53" s="11"/>
      <c r="CB53" s="4"/>
      <c r="CC53" s="30"/>
    </row>
    <row r="54" spans="1:81" x14ac:dyDescent="0.3">
      <c r="B54" s="393"/>
      <c r="C54" s="4"/>
      <c r="D54" s="4"/>
      <c r="E54" s="4"/>
      <c r="F54" s="4"/>
      <c r="G54" s="4"/>
      <c r="H54" s="4"/>
      <c r="I54" s="410"/>
      <c r="J54" s="4"/>
      <c r="K54" s="34"/>
      <c r="L54" s="4"/>
      <c r="M54" s="4"/>
      <c r="N54" s="16"/>
      <c r="O54" s="30"/>
      <c r="P54" s="18"/>
      <c r="Q54" s="4"/>
      <c r="R54" s="4"/>
      <c r="S54" s="4"/>
      <c r="T54" s="4"/>
      <c r="U54" s="4"/>
      <c r="V54" s="410"/>
      <c r="W54" s="4"/>
      <c r="X54" s="4"/>
      <c r="Y54" s="4"/>
      <c r="Z54" s="4"/>
      <c r="AA54" s="16"/>
      <c r="AB54" s="31"/>
      <c r="AC54" s="18"/>
      <c r="AD54" s="4"/>
      <c r="AE54" s="4"/>
      <c r="AF54" s="4"/>
      <c r="AG54" s="4"/>
      <c r="AH54" s="4"/>
      <c r="AI54" s="410"/>
      <c r="AJ54" s="4"/>
      <c r="AK54" s="4"/>
      <c r="AL54" s="4"/>
      <c r="AM54" s="4"/>
      <c r="AN54" s="16"/>
      <c r="AO54" s="30"/>
      <c r="AP54" s="18"/>
      <c r="AQ54" s="4"/>
      <c r="AR54" s="4"/>
      <c r="AS54" s="4"/>
      <c r="AT54" s="4"/>
      <c r="AU54" s="4"/>
      <c r="AV54" s="410"/>
      <c r="AW54" s="4"/>
      <c r="AX54" s="4"/>
      <c r="AY54" s="4"/>
      <c r="AZ54" s="4"/>
      <c r="BA54" s="16"/>
      <c r="BB54" s="30"/>
      <c r="BC54" s="4"/>
      <c r="BD54" s="4"/>
      <c r="BE54" s="4"/>
      <c r="BF54" s="4"/>
      <c r="BG54" s="4"/>
      <c r="BH54" s="4"/>
      <c r="BI54" s="410"/>
      <c r="BJ54" s="4"/>
      <c r="BK54" s="4"/>
      <c r="BL54" s="4"/>
      <c r="BM54" s="4"/>
      <c r="BN54" s="377"/>
      <c r="BO54" s="4"/>
      <c r="BP54" s="18"/>
      <c r="BQ54" s="4"/>
      <c r="BR54" s="4"/>
      <c r="BS54" s="4"/>
      <c r="BT54" s="4"/>
      <c r="BU54" s="4"/>
      <c r="BV54" s="4"/>
      <c r="BW54" s="4"/>
      <c r="BX54" s="4"/>
      <c r="BY54" s="4"/>
      <c r="BZ54" s="4"/>
      <c r="CA54" s="11"/>
      <c r="CB54" s="4"/>
      <c r="CC54" s="30"/>
    </row>
    <row r="55" spans="1:81" x14ac:dyDescent="0.3">
      <c r="B55" s="393"/>
      <c r="C55" s="4"/>
      <c r="D55" s="4"/>
      <c r="E55" s="4"/>
      <c r="F55" s="4"/>
      <c r="G55" s="4"/>
      <c r="H55" s="4"/>
      <c r="I55" s="410"/>
      <c r="J55" s="4"/>
      <c r="K55" s="34"/>
      <c r="L55" s="4"/>
      <c r="M55" s="4"/>
      <c r="N55" s="16"/>
      <c r="O55" s="30"/>
      <c r="P55" s="18"/>
      <c r="Q55" s="4"/>
      <c r="R55" s="4"/>
      <c r="S55" s="4"/>
      <c r="T55" s="4"/>
      <c r="U55" s="4"/>
      <c r="V55" s="410"/>
      <c r="W55" s="4"/>
      <c r="X55" s="4"/>
      <c r="Y55" s="4"/>
      <c r="Z55" s="4"/>
      <c r="AA55" s="16"/>
      <c r="AB55" s="31"/>
      <c r="AC55" s="18"/>
      <c r="AD55" s="4"/>
      <c r="AE55" s="4"/>
      <c r="AF55" s="4"/>
      <c r="AG55" s="4"/>
      <c r="AH55" s="4"/>
      <c r="AI55" s="410"/>
      <c r="AJ55" s="4"/>
      <c r="AK55" s="4"/>
      <c r="AL55" s="4"/>
      <c r="AM55" s="4"/>
      <c r="AN55" s="16"/>
      <c r="AO55" s="30"/>
      <c r="AP55" s="18"/>
      <c r="AQ55" s="4"/>
      <c r="AR55" s="4"/>
      <c r="AS55" s="4"/>
      <c r="AT55" s="4"/>
      <c r="AU55" s="4"/>
      <c r="AV55" s="410"/>
      <c r="AW55" s="4"/>
      <c r="AX55" s="4"/>
      <c r="AY55" s="4"/>
      <c r="AZ55" s="4"/>
      <c r="BA55" s="16"/>
      <c r="BB55" s="30"/>
      <c r="BC55" s="4"/>
      <c r="BD55" s="4"/>
      <c r="BE55" s="4"/>
      <c r="BF55" s="4"/>
      <c r="BG55" s="4"/>
      <c r="BH55" s="4"/>
      <c r="BI55" s="410"/>
      <c r="BJ55" s="4"/>
      <c r="BK55" s="4"/>
      <c r="BL55" s="4"/>
      <c r="BM55" s="4"/>
      <c r="BN55" s="377"/>
      <c r="BO55" s="4"/>
      <c r="BP55" s="18"/>
      <c r="BQ55" s="4"/>
      <c r="BR55" s="4"/>
      <c r="BS55" s="4"/>
      <c r="BT55" s="4"/>
      <c r="BU55" s="4"/>
      <c r="BV55" s="4"/>
      <c r="BW55" s="4"/>
      <c r="BX55" s="4"/>
      <c r="BY55" s="4"/>
      <c r="BZ55" s="4"/>
      <c r="CA55" s="11"/>
      <c r="CB55" s="4"/>
      <c r="CC55" s="30"/>
    </row>
    <row r="56" spans="1:81" x14ac:dyDescent="0.3">
      <c r="B56" s="393"/>
      <c r="C56" s="4"/>
      <c r="D56" s="4"/>
      <c r="E56" s="4"/>
      <c r="F56" s="4"/>
      <c r="G56" s="4"/>
      <c r="H56" s="4"/>
      <c r="I56" s="410"/>
      <c r="J56" s="4"/>
      <c r="K56" s="34"/>
      <c r="L56" s="4"/>
      <c r="M56" s="4"/>
      <c r="N56" s="16"/>
      <c r="O56" s="30"/>
      <c r="P56" s="18"/>
      <c r="Q56" s="4"/>
      <c r="R56" s="4"/>
      <c r="S56" s="4"/>
      <c r="T56" s="4"/>
      <c r="U56" s="4"/>
      <c r="V56" s="410"/>
      <c r="W56" s="4"/>
      <c r="X56" s="4"/>
      <c r="Y56" s="4"/>
      <c r="Z56" s="4"/>
      <c r="AA56" s="16"/>
      <c r="AB56" s="31"/>
      <c r="AC56" s="18"/>
      <c r="AD56" s="4"/>
      <c r="AE56" s="4"/>
      <c r="AF56" s="4"/>
      <c r="AG56" s="4"/>
      <c r="AH56" s="4"/>
      <c r="AI56" s="410"/>
      <c r="AJ56" s="4"/>
      <c r="AK56" s="4"/>
      <c r="AL56" s="4"/>
      <c r="AM56" s="4"/>
      <c r="AN56" s="16"/>
      <c r="AO56" s="30"/>
      <c r="AP56" s="18"/>
      <c r="AQ56" s="4"/>
      <c r="AR56" s="4"/>
      <c r="AS56" s="4"/>
      <c r="AT56" s="4"/>
      <c r="AU56" s="4"/>
      <c r="AV56" s="410"/>
      <c r="AW56" s="4"/>
      <c r="AX56" s="4"/>
      <c r="AY56" s="4"/>
      <c r="AZ56" s="4"/>
      <c r="BA56" s="16"/>
      <c r="BB56" s="30"/>
      <c r="BC56" s="4"/>
      <c r="BD56" s="4"/>
      <c r="BE56" s="4"/>
      <c r="BF56" s="4"/>
      <c r="BG56" s="4"/>
      <c r="BH56" s="4"/>
      <c r="BI56" s="410"/>
      <c r="BJ56" s="4"/>
      <c r="BK56" s="4"/>
      <c r="BL56" s="4"/>
      <c r="BM56" s="4"/>
      <c r="BN56" s="377"/>
      <c r="BO56" s="4"/>
      <c r="BP56" s="18"/>
      <c r="BQ56" s="4"/>
      <c r="BR56" s="4"/>
      <c r="BS56" s="4"/>
      <c r="BT56" s="4"/>
      <c r="BU56" s="4"/>
      <c r="BV56" s="4"/>
      <c r="BW56" s="4"/>
      <c r="BX56" s="4"/>
      <c r="BY56" s="4"/>
      <c r="BZ56" s="4"/>
      <c r="CA56" s="11"/>
      <c r="CB56" s="4"/>
      <c r="CC56" s="30"/>
    </row>
    <row r="57" spans="1:81" x14ac:dyDescent="0.3">
      <c r="B57" s="393"/>
      <c r="C57" s="4"/>
      <c r="D57" s="4"/>
      <c r="E57" s="4"/>
      <c r="F57" s="4"/>
      <c r="G57" s="4"/>
      <c r="H57" s="4"/>
      <c r="I57" s="410"/>
      <c r="J57" s="4"/>
      <c r="K57" s="34"/>
      <c r="L57" s="4"/>
      <c r="M57" s="4"/>
      <c r="N57" s="16"/>
      <c r="O57" s="30"/>
      <c r="P57" s="18"/>
      <c r="Q57" s="4"/>
      <c r="R57" s="4"/>
      <c r="S57" s="4"/>
      <c r="T57" s="4"/>
      <c r="U57" s="4"/>
      <c r="V57" s="410"/>
      <c r="W57" s="4"/>
      <c r="X57" s="4"/>
      <c r="Y57" s="4"/>
      <c r="Z57" s="4"/>
      <c r="AA57" s="16"/>
      <c r="AB57" s="31"/>
      <c r="AC57" s="18"/>
      <c r="AD57" s="4"/>
      <c r="AE57" s="4"/>
      <c r="AF57" s="4"/>
      <c r="AG57" s="4"/>
      <c r="AH57" s="4"/>
      <c r="AI57" s="410"/>
      <c r="AJ57" s="4"/>
      <c r="AK57" s="4"/>
      <c r="AL57" s="4"/>
      <c r="AM57" s="4"/>
      <c r="AN57" s="16"/>
      <c r="AO57" s="30"/>
      <c r="AP57" s="18"/>
      <c r="AQ57" s="4"/>
      <c r="AR57" s="4"/>
      <c r="AS57" s="4"/>
      <c r="AT57" s="4"/>
      <c r="AU57" s="4"/>
      <c r="AV57" s="410"/>
      <c r="AW57" s="4"/>
      <c r="AX57" s="4"/>
      <c r="AY57" s="4"/>
      <c r="AZ57" s="4"/>
      <c r="BA57" s="16"/>
      <c r="BB57" s="30"/>
      <c r="BC57" s="4"/>
      <c r="BD57" s="4"/>
      <c r="BE57" s="4"/>
      <c r="BF57" s="4"/>
      <c r="BG57" s="4"/>
      <c r="BH57" s="4"/>
      <c r="BI57" s="410"/>
      <c r="BJ57" s="4"/>
      <c r="BK57" s="4"/>
      <c r="BL57" s="4"/>
      <c r="BM57" s="4"/>
      <c r="BN57" s="377"/>
      <c r="BO57" s="4"/>
      <c r="BP57" s="18"/>
      <c r="BQ57" s="4"/>
      <c r="BR57" s="4"/>
      <c r="BS57" s="4"/>
      <c r="BT57" s="4"/>
      <c r="BU57" s="4"/>
      <c r="BV57" s="4"/>
      <c r="BW57" s="4"/>
      <c r="BX57" s="4"/>
      <c r="BY57" s="4"/>
      <c r="BZ57" s="4"/>
      <c r="CA57" s="11"/>
      <c r="CB57" s="4"/>
      <c r="CC57" s="30"/>
    </row>
    <row r="58" spans="1:81" x14ac:dyDescent="0.3">
      <c r="B58" s="393"/>
      <c r="C58" s="4"/>
      <c r="D58" s="4"/>
      <c r="E58" s="4"/>
      <c r="F58" s="4"/>
      <c r="G58" s="4"/>
      <c r="H58" s="4"/>
      <c r="I58" s="410"/>
      <c r="J58" s="4"/>
      <c r="K58" s="34"/>
      <c r="L58" s="4"/>
      <c r="M58" s="4"/>
      <c r="N58" s="16"/>
      <c r="O58" s="30"/>
      <c r="P58" s="18"/>
      <c r="Q58" s="4"/>
      <c r="R58" s="4"/>
      <c r="S58" s="4"/>
      <c r="T58" s="4"/>
      <c r="U58" s="4"/>
      <c r="V58" s="410"/>
      <c r="W58" s="4"/>
      <c r="X58" s="4"/>
      <c r="Y58" s="4"/>
      <c r="Z58" s="4"/>
      <c r="AA58" s="16"/>
      <c r="AB58" s="31"/>
      <c r="AC58" s="18"/>
      <c r="AD58" s="4"/>
      <c r="AE58" s="4"/>
      <c r="AF58" s="4"/>
      <c r="AG58" s="4"/>
      <c r="AH58" s="4"/>
      <c r="AI58" s="410"/>
      <c r="AJ58" s="4"/>
      <c r="AK58" s="4"/>
      <c r="AL58" s="4"/>
      <c r="AM58" s="4"/>
      <c r="AN58" s="16"/>
      <c r="AO58" s="30"/>
      <c r="AP58" s="18"/>
      <c r="AQ58" s="4"/>
      <c r="AR58" s="4"/>
      <c r="AS58" s="4"/>
      <c r="AT58" s="4"/>
      <c r="AU58" s="4"/>
      <c r="AV58" s="410"/>
      <c r="AW58" s="4"/>
      <c r="AX58" s="4"/>
      <c r="AY58" s="4"/>
      <c r="AZ58" s="4"/>
      <c r="BA58" s="16"/>
      <c r="BB58" s="30"/>
      <c r="BC58" s="4"/>
      <c r="BD58" s="4"/>
      <c r="BE58" s="4"/>
      <c r="BF58" s="4"/>
      <c r="BG58" s="4"/>
      <c r="BH58" s="4"/>
      <c r="BI58" s="410"/>
      <c r="BJ58" s="4"/>
      <c r="BK58" s="4"/>
      <c r="BL58" s="4"/>
      <c r="BM58" s="4"/>
      <c r="BN58" s="377"/>
      <c r="BO58" s="4"/>
      <c r="BP58" s="18"/>
      <c r="BQ58" s="4"/>
      <c r="BR58" s="4"/>
      <c r="BS58" s="4"/>
      <c r="BT58" s="4"/>
      <c r="BU58" s="4"/>
      <c r="BV58" s="4"/>
      <c r="BW58" s="4"/>
      <c r="BX58" s="4"/>
      <c r="BY58" s="4"/>
      <c r="BZ58" s="4"/>
      <c r="CA58" s="11"/>
      <c r="CB58" s="4"/>
      <c r="CC58" s="30"/>
    </row>
    <row r="59" spans="1:81" x14ac:dyDescent="0.3">
      <c r="A59" s="2"/>
      <c r="B59" s="20"/>
      <c r="C59" s="1"/>
      <c r="D59" s="1"/>
      <c r="E59" s="1"/>
      <c r="F59" s="1"/>
      <c r="G59" s="1"/>
      <c r="H59" s="1"/>
      <c r="I59" s="1"/>
      <c r="J59" s="1"/>
      <c r="K59" s="404"/>
      <c r="L59" s="1"/>
      <c r="M59" s="1"/>
      <c r="N59" s="16"/>
      <c r="O59" s="405"/>
      <c r="P59" s="406"/>
      <c r="Q59" s="1"/>
      <c r="R59" s="1"/>
      <c r="S59" s="1"/>
      <c r="T59" s="1"/>
      <c r="U59" s="1"/>
      <c r="V59" s="1"/>
      <c r="W59" s="1"/>
      <c r="X59" s="1"/>
      <c r="Y59" s="1"/>
      <c r="Z59" s="1"/>
      <c r="AA59" s="1"/>
      <c r="AB59" s="32"/>
      <c r="AC59" s="407"/>
      <c r="AD59" s="1"/>
      <c r="AE59" s="1"/>
      <c r="AF59" s="1"/>
      <c r="AG59" s="1"/>
      <c r="AH59" s="1"/>
      <c r="AI59" s="412"/>
      <c r="AJ59" s="1"/>
      <c r="AK59" s="1"/>
      <c r="AL59" s="1"/>
      <c r="AM59" s="1"/>
      <c r="AN59" s="1"/>
      <c r="AO59" s="32"/>
      <c r="AP59" s="407"/>
      <c r="AQ59" s="1"/>
      <c r="AR59" s="1"/>
      <c r="AS59" s="1"/>
      <c r="AT59" s="1"/>
      <c r="AU59" s="1"/>
      <c r="AV59" s="1"/>
      <c r="AW59" s="1"/>
      <c r="AX59" s="1"/>
      <c r="AY59" s="1"/>
      <c r="AZ59" s="1"/>
      <c r="BA59" s="1"/>
      <c r="BB59" s="32"/>
      <c r="BC59" s="1"/>
      <c r="BD59" s="1"/>
      <c r="BE59" s="1"/>
      <c r="BF59" s="1"/>
      <c r="BG59" s="1"/>
      <c r="BH59" s="1"/>
      <c r="BI59" s="412"/>
      <c r="BJ59" s="1"/>
      <c r="BK59" s="1"/>
      <c r="BL59" s="1"/>
      <c r="BM59" s="1"/>
      <c r="BN59" s="1"/>
      <c r="BO59" s="1"/>
      <c r="BP59" s="376"/>
      <c r="BQ59" s="372"/>
      <c r="BR59" s="372"/>
      <c r="BS59" s="372"/>
      <c r="BT59" s="372"/>
      <c r="BU59" s="372"/>
      <c r="BV59" s="372"/>
      <c r="BW59" s="372"/>
      <c r="BX59" s="372"/>
      <c r="BY59" s="372"/>
      <c r="BZ59" s="372"/>
      <c r="CA59" s="372"/>
      <c r="CB59" s="372"/>
      <c r="CC59" s="373"/>
    </row>
    <row r="60" spans="1:81" x14ac:dyDescent="0.3">
      <c r="A60" s="2">
        <v>28</v>
      </c>
      <c r="B60" s="21" t="s">
        <v>36</v>
      </c>
      <c r="C60" s="1"/>
      <c r="D60" s="1"/>
      <c r="E60" s="1"/>
      <c r="F60" s="1"/>
      <c r="G60" s="1"/>
      <c r="H60" s="1"/>
      <c r="I60" s="1"/>
      <c r="J60" s="1"/>
      <c r="K60" s="404"/>
      <c r="L60" s="1"/>
      <c r="M60" s="1"/>
      <c r="N60" s="16"/>
      <c r="O60" s="405"/>
      <c r="P60" s="406"/>
      <c r="Q60" s="1"/>
      <c r="R60" s="1"/>
      <c r="S60" s="1"/>
      <c r="T60" s="1"/>
      <c r="U60" s="1"/>
      <c r="V60" s="1"/>
      <c r="W60" s="1"/>
      <c r="X60" s="1"/>
      <c r="Y60" s="1"/>
      <c r="Z60" s="1"/>
      <c r="AA60" s="1"/>
      <c r="AB60" s="32"/>
      <c r="AC60" s="407"/>
      <c r="AD60" s="1"/>
      <c r="AE60" s="1"/>
      <c r="AF60" s="1"/>
      <c r="AG60" s="1"/>
      <c r="AH60" s="1"/>
      <c r="AI60" s="1"/>
      <c r="AJ60" s="1"/>
      <c r="AK60" s="1"/>
      <c r="AL60" s="1"/>
      <c r="AM60" s="1"/>
      <c r="AN60" s="1"/>
      <c r="AO60" s="32"/>
      <c r="AP60" s="406"/>
      <c r="AQ60" s="1"/>
      <c r="AR60" s="1"/>
      <c r="AS60" s="1"/>
      <c r="AT60" s="1"/>
      <c r="AU60" s="1"/>
      <c r="AV60" s="1"/>
      <c r="AW60" s="1"/>
      <c r="AX60" s="1"/>
      <c r="AY60" s="1"/>
      <c r="AZ60" s="1"/>
      <c r="BA60" s="1"/>
      <c r="BB60" s="32"/>
      <c r="BC60" s="1"/>
      <c r="BD60" s="1"/>
      <c r="BE60" s="1"/>
      <c r="BF60" s="1"/>
      <c r="BG60" s="1"/>
      <c r="BH60" s="1"/>
      <c r="BI60" s="1"/>
      <c r="BJ60" s="1"/>
      <c r="BK60" s="1"/>
      <c r="BL60" s="1"/>
      <c r="BM60" s="1"/>
      <c r="BN60" s="1"/>
      <c r="BO60" s="1"/>
      <c r="BP60" s="376"/>
      <c r="BQ60" s="372"/>
      <c r="BR60" s="372"/>
      <c r="BS60" s="372"/>
      <c r="BT60" s="372"/>
      <c r="BU60" s="372"/>
      <c r="BV60" s="372"/>
      <c r="BW60" s="372"/>
      <c r="BX60" s="372"/>
      <c r="BY60" s="372"/>
      <c r="BZ60" s="372"/>
      <c r="CA60" s="372"/>
      <c r="CB60" s="372"/>
      <c r="CC60" s="373"/>
    </row>
    <row r="61" spans="1:81" x14ac:dyDescent="0.3">
      <c r="A61" s="2">
        <v>29</v>
      </c>
      <c r="B61" s="20" t="s">
        <v>35</v>
      </c>
      <c r="C61" s="22">
        <f t="shared" ref="C61:H61" si="4">(C7/C5)*100</f>
        <v>45.997397128069984</v>
      </c>
      <c r="D61" s="22">
        <f t="shared" si="4"/>
        <v>19.155130658415729</v>
      </c>
      <c r="E61" s="22" t="e">
        <f t="shared" si="4"/>
        <v>#VALUE!</v>
      </c>
      <c r="F61" s="22">
        <f t="shared" si="4"/>
        <v>13.406381841433173</v>
      </c>
      <c r="G61" s="22">
        <f t="shared" si="4"/>
        <v>21.532061012100755</v>
      </c>
      <c r="H61" s="22">
        <f t="shared" si="4"/>
        <v>23.942508448273301</v>
      </c>
      <c r="I61" s="22"/>
      <c r="J61" s="22" t="e">
        <f t="shared" ref="J61:U61" si="5">(J7/J5)*100</f>
        <v>#DIV/0!</v>
      </c>
      <c r="K61" s="408">
        <f t="shared" si="5"/>
        <v>35.068998516587641</v>
      </c>
      <c r="L61" s="22">
        <f t="shared" si="5"/>
        <v>23.871250359307012</v>
      </c>
      <c r="M61" s="22">
        <f t="shared" si="5"/>
        <v>6.7137900000000004</v>
      </c>
      <c r="N61" s="22">
        <f t="shared" si="5"/>
        <v>15.848031302928989</v>
      </c>
      <c r="O61" s="22">
        <f t="shared" si="5"/>
        <v>31.000000039610182</v>
      </c>
      <c r="P61" s="22">
        <f t="shared" si="5"/>
        <v>27.274643802927628</v>
      </c>
      <c r="Q61" s="22">
        <f t="shared" si="5"/>
        <v>14.946053476998092</v>
      </c>
      <c r="R61" s="22">
        <f t="shared" si="5"/>
        <v>13.26672597584172</v>
      </c>
      <c r="S61" s="22">
        <f t="shared" si="5"/>
        <v>11.420154538257865</v>
      </c>
      <c r="T61" s="22">
        <f t="shared" si="5"/>
        <v>15.484714713013734</v>
      </c>
      <c r="U61" s="22">
        <f t="shared" si="5"/>
        <v>20.981173622143263</v>
      </c>
      <c r="V61" s="22"/>
      <c r="W61" s="22">
        <f t="shared" ref="W61:AU61" si="6">(W7/W5)*100</f>
        <v>16.610037015271342</v>
      </c>
      <c r="X61" s="22">
        <f t="shared" si="6"/>
        <v>23.55803451422868</v>
      </c>
      <c r="Y61" s="22">
        <f t="shared" si="6"/>
        <v>16.255175915077878</v>
      </c>
      <c r="Z61" s="22">
        <f t="shared" si="6"/>
        <v>4.6284447355654761</v>
      </c>
      <c r="AA61" s="22">
        <f t="shared" si="6"/>
        <v>34.478622346030235</v>
      </c>
      <c r="AB61" s="22">
        <f t="shared" si="6"/>
        <v>25.999999961338787</v>
      </c>
      <c r="AC61" s="22">
        <f t="shared" si="6"/>
        <v>26.776105984142863</v>
      </c>
      <c r="AD61" s="22">
        <f t="shared" si="6"/>
        <v>11.270964114126942</v>
      </c>
      <c r="AE61" s="22">
        <f t="shared" si="6"/>
        <v>13.4088185412635</v>
      </c>
      <c r="AF61" s="22">
        <f t="shared" si="6"/>
        <v>12.479768802471312</v>
      </c>
      <c r="AG61" s="22">
        <f t="shared" si="6"/>
        <v>14.852858961101031</v>
      </c>
      <c r="AH61" s="22">
        <f t="shared" si="6"/>
        <v>21.646698978443929</v>
      </c>
      <c r="AI61" s="22">
        <f t="shared" si="6"/>
        <v>12.917564082914712</v>
      </c>
      <c r="AJ61" s="22">
        <f t="shared" si="6"/>
        <v>21.09922830531934</v>
      </c>
      <c r="AK61" s="22">
        <f t="shared" si="6"/>
        <v>26.304649023902023</v>
      </c>
      <c r="AL61" s="22">
        <f t="shared" si="6"/>
        <v>16.133387038971104</v>
      </c>
      <c r="AM61" s="22">
        <f t="shared" si="6"/>
        <v>4.4816161975825768</v>
      </c>
      <c r="AN61" s="22">
        <f t="shared" si="6"/>
        <v>12.9544148659337</v>
      </c>
      <c r="AO61" s="22">
        <f t="shared" si="6"/>
        <v>26.000000076101131</v>
      </c>
      <c r="AP61" s="22">
        <f t="shared" si="6"/>
        <v>22.917979239137505</v>
      </c>
      <c r="AQ61" s="22">
        <f t="shared" si="6"/>
        <v>13.734125150304163</v>
      </c>
      <c r="AR61" s="22">
        <f t="shared" si="6"/>
        <v>15.31388789216127</v>
      </c>
      <c r="AS61" s="22">
        <f t="shared" si="6"/>
        <v>14.860654993059628</v>
      </c>
      <c r="AT61" s="22">
        <f t="shared" si="6"/>
        <v>19.092487298053321</v>
      </c>
      <c r="AU61" s="22">
        <f t="shared" si="6"/>
        <v>23.752999839050538</v>
      </c>
      <c r="AV61" s="22"/>
      <c r="AW61" s="22">
        <f t="shared" ref="AW61:BH61" si="7">(AW7/AW5)*100</f>
        <v>21.40158872376178</v>
      </c>
      <c r="AX61" s="22">
        <f t="shared" si="7"/>
        <v>23.333333371239274</v>
      </c>
      <c r="AY61" s="22">
        <f t="shared" si="7"/>
        <v>20.734316849723569</v>
      </c>
      <c r="AZ61" s="22">
        <f t="shared" si="7"/>
        <v>5.5948545218195509</v>
      </c>
      <c r="BA61" s="22">
        <f t="shared" si="7"/>
        <v>14.220972227118656</v>
      </c>
      <c r="BB61" s="22">
        <f t="shared" si="7"/>
        <v>25.999999960278142</v>
      </c>
      <c r="BC61" s="22">
        <f t="shared" si="7"/>
        <v>25.547793570282085</v>
      </c>
      <c r="BD61" s="22">
        <f t="shared" si="7"/>
        <v>15.672483205564362</v>
      </c>
      <c r="BE61" s="22">
        <f t="shared" si="7"/>
        <v>16.842884639972201</v>
      </c>
      <c r="BF61" s="22">
        <f t="shared" si="7"/>
        <v>15.355995915397058</v>
      </c>
      <c r="BG61" s="22">
        <f t="shared" si="7"/>
        <v>21.433842077590047</v>
      </c>
      <c r="BH61" s="22">
        <f t="shared" si="7"/>
        <v>23.737564892041007</v>
      </c>
      <c r="BI61" s="22"/>
      <c r="BJ61" s="22">
        <f t="shared" ref="BJ61:BO61" si="8">(BJ7/BJ5)*100</f>
        <v>23.807792161189607</v>
      </c>
      <c r="BK61" s="22">
        <f t="shared" si="8"/>
        <v>38.815601575934927</v>
      </c>
      <c r="BL61" s="22">
        <f t="shared" si="8"/>
        <v>22.501496669169299</v>
      </c>
      <c r="BM61" s="22">
        <f t="shared" si="8"/>
        <v>7.5739195598900011</v>
      </c>
      <c r="BN61" s="22">
        <f t="shared" si="8"/>
        <v>16.503247308775766</v>
      </c>
      <c r="BO61" s="22">
        <f t="shared" si="8"/>
        <v>26.000000036152436</v>
      </c>
      <c r="BP61" s="22">
        <f t="shared" ref="BP61:CC61" si="9">(BP7/BP5)*100</f>
        <v>26.3214958404978</v>
      </c>
      <c r="BQ61" s="22">
        <f t="shared" si="9"/>
        <v>16.552806980649525</v>
      </c>
      <c r="BR61" s="22">
        <f t="shared" si="9"/>
        <v>17.246975372812511</v>
      </c>
      <c r="BS61" s="22">
        <f t="shared" si="9"/>
        <v>15.569687946986633</v>
      </c>
      <c r="BT61" s="22">
        <f t="shared" si="9"/>
        <v>33.487067381359203</v>
      </c>
      <c r="BU61" s="22">
        <f t="shared" si="9"/>
        <v>25.262848459709275</v>
      </c>
      <c r="BV61" s="22">
        <f t="shared" si="9"/>
        <v>19.615032202165398</v>
      </c>
      <c r="BW61" s="22">
        <f t="shared" si="9"/>
        <v>26.078385956143872</v>
      </c>
      <c r="BX61" s="22">
        <f t="shared" si="9"/>
        <v>40.145706293457081</v>
      </c>
      <c r="BY61" s="22">
        <f t="shared" si="9"/>
        <v>22.413093673172117</v>
      </c>
      <c r="BZ61" s="22">
        <f t="shared" si="9"/>
        <v>7.0072843094112418</v>
      </c>
      <c r="CA61" s="22">
        <f t="shared" si="9"/>
        <v>16.655348373005801</v>
      </c>
      <c r="CB61" s="22">
        <f t="shared" si="9"/>
        <v>26.000000071621521</v>
      </c>
      <c r="CC61" s="22">
        <f t="shared" si="9"/>
        <v>18.867806099131794</v>
      </c>
    </row>
    <row r="62" spans="1:81" x14ac:dyDescent="0.3">
      <c r="A62" s="2">
        <v>30</v>
      </c>
      <c r="B62" s="20" t="s">
        <v>45</v>
      </c>
      <c r="C62" s="372">
        <f t="shared" ref="C62:H62" si="10">C17-C14</f>
        <v>1569359816.2142892</v>
      </c>
      <c r="D62" s="372">
        <f t="shared" si="10"/>
        <v>231000616</v>
      </c>
      <c r="E62" s="372">
        <f t="shared" si="10"/>
        <v>789400000</v>
      </c>
      <c r="F62" s="372">
        <f t="shared" si="10"/>
        <v>459100000</v>
      </c>
      <c r="G62" s="372">
        <f t="shared" si="10"/>
        <v>0</v>
      </c>
      <c r="H62" s="372">
        <f t="shared" si="10"/>
        <v>558668603</v>
      </c>
      <c r="I62" s="372"/>
      <c r="J62" s="372">
        <f t="shared" ref="J62:U62" si="11">J17-J14</f>
        <v>0</v>
      </c>
      <c r="K62" s="292">
        <f t="shared" si="11"/>
        <v>727287380.92857146</v>
      </c>
      <c r="L62" s="372">
        <f t="shared" si="11"/>
        <v>464749671</v>
      </c>
      <c r="M62" s="372">
        <f t="shared" si="11"/>
        <v>389790281.91999996</v>
      </c>
      <c r="N62" s="372">
        <f t="shared" si="11"/>
        <v>322269784</v>
      </c>
      <c r="O62" s="372">
        <f t="shared" si="11"/>
        <v>345812516.193573</v>
      </c>
      <c r="P62" s="372">
        <f t="shared" si="11"/>
        <v>2588231719.1021824</v>
      </c>
      <c r="Q62" s="372">
        <f t="shared" si="11"/>
        <v>229713355</v>
      </c>
      <c r="R62" s="372">
        <f t="shared" si="11"/>
        <v>803000000</v>
      </c>
      <c r="S62" s="372">
        <f t="shared" si="11"/>
        <v>510200000</v>
      </c>
      <c r="T62" s="372">
        <f t="shared" si="11"/>
        <v>719602219.33333325</v>
      </c>
      <c r="U62" s="372">
        <f t="shared" si="11"/>
        <v>624503937</v>
      </c>
      <c r="V62" s="372"/>
      <c r="W62" s="372">
        <f t="shared" ref="W62:AU62" si="12">W17-W14</f>
        <v>1928599033</v>
      </c>
      <c r="X62" s="372">
        <f t="shared" si="12"/>
        <v>1084534497.4642859</v>
      </c>
      <c r="Y62" s="372">
        <f t="shared" si="12"/>
        <v>534654720</v>
      </c>
      <c r="Z62" s="372">
        <f t="shared" si="12"/>
        <v>458700328</v>
      </c>
      <c r="AA62" s="372">
        <f t="shared" si="12"/>
        <v>386924076</v>
      </c>
      <c r="AB62" s="372">
        <f t="shared" si="12"/>
        <v>490223951.19461799</v>
      </c>
      <c r="AC62" s="372">
        <f t="shared" si="12"/>
        <v>2776538383.2302203</v>
      </c>
      <c r="AD62" s="372">
        <f t="shared" si="12"/>
        <v>235507166</v>
      </c>
      <c r="AE62" s="372">
        <f t="shared" si="12"/>
        <v>835746329</v>
      </c>
      <c r="AF62" s="372">
        <f t="shared" si="12"/>
        <v>465700000</v>
      </c>
      <c r="AG62" s="372">
        <f t="shared" si="12"/>
        <v>728650112.58139527</v>
      </c>
      <c r="AH62" s="372">
        <f t="shared" si="12"/>
        <v>626682269</v>
      </c>
      <c r="AI62" s="372">
        <f t="shared" si="12"/>
        <v>0</v>
      </c>
      <c r="AJ62" s="372">
        <f t="shared" si="12"/>
        <v>1884817279</v>
      </c>
      <c r="AK62" s="372">
        <f t="shared" si="12"/>
        <v>1025113132.8928572</v>
      </c>
      <c r="AL62" s="372">
        <f t="shared" si="12"/>
        <v>563637204.45000005</v>
      </c>
      <c r="AM62" s="372">
        <f t="shared" si="12"/>
        <v>451117632</v>
      </c>
      <c r="AN62" s="372">
        <f t="shared" si="12"/>
        <v>408917634</v>
      </c>
      <c r="AO62" s="372">
        <f t="shared" si="12"/>
        <v>490535236.39111209</v>
      </c>
      <c r="AP62" s="372">
        <f t="shared" si="12"/>
        <v>2530698798.7112503</v>
      </c>
      <c r="AQ62" s="372">
        <f t="shared" si="12"/>
        <v>280597262</v>
      </c>
      <c r="AR62" s="372">
        <f t="shared" si="12"/>
        <v>836051356</v>
      </c>
      <c r="AS62" s="372">
        <f t="shared" si="12"/>
        <v>528200000</v>
      </c>
      <c r="AT62" s="372">
        <f t="shared" si="12"/>
        <v>740758528.67857146</v>
      </c>
      <c r="AU62" s="372">
        <f t="shared" si="12"/>
        <v>654731305</v>
      </c>
      <c r="AV62" s="372"/>
      <c r="AW62" s="372">
        <f t="shared" ref="AW62:BH62" si="13">AW17-AW14</f>
        <v>1777037714</v>
      </c>
      <c r="AX62" s="372">
        <f t="shared" si="13"/>
        <v>1080586790.5714285</v>
      </c>
      <c r="AY62" s="372">
        <f t="shared" si="13"/>
        <v>553173027</v>
      </c>
      <c r="AZ62" s="372">
        <f t="shared" si="13"/>
        <v>480104401</v>
      </c>
      <c r="BA62" s="372">
        <f t="shared" si="13"/>
        <v>424747442</v>
      </c>
      <c r="BB62" s="372">
        <f t="shared" si="13"/>
        <v>503286127.62302303</v>
      </c>
      <c r="BC62" s="372">
        <f t="shared" si="13"/>
        <v>2731007637.2051287</v>
      </c>
      <c r="BD62" s="372">
        <f t="shared" si="13"/>
        <v>275085757</v>
      </c>
      <c r="BE62" s="372">
        <f t="shared" si="13"/>
        <v>894940526</v>
      </c>
      <c r="BF62" s="372">
        <f t="shared" si="13"/>
        <v>612100000.00000012</v>
      </c>
      <c r="BG62" s="372">
        <f t="shared" si="13"/>
        <v>815720576.25</v>
      </c>
      <c r="BH62" s="372">
        <f t="shared" si="13"/>
        <v>727792643</v>
      </c>
      <c r="BI62" s="372"/>
      <c r="BJ62" s="372">
        <f t="shared" ref="BJ62:BO62" si="14">BJ17-BJ14</f>
        <v>1996623789</v>
      </c>
      <c r="BK62" s="372">
        <f t="shared" si="14"/>
        <v>1142541992.7857144</v>
      </c>
      <c r="BL62" s="372">
        <f t="shared" si="14"/>
        <v>570230004</v>
      </c>
      <c r="BM62" s="372">
        <f t="shared" si="14"/>
        <v>496317816</v>
      </c>
      <c r="BN62" s="372">
        <f t="shared" si="14"/>
        <v>471306370</v>
      </c>
      <c r="BO62" s="372">
        <f t="shared" si="14"/>
        <v>561903812.38519704</v>
      </c>
      <c r="BP62" s="372">
        <f t="shared" ref="BP62:CC62" si="15">BP17-BP14</f>
        <v>2699004859.57796</v>
      </c>
      <c r="BQ62" s="372">
        <f t="shared" si="15"/>
        <v>267429430</v>
      </c>
      <c r="BR62" s="372">
        <f t="shared" si="15"/>
        <v>919792545</v>
      </c>
      <c r="BS62" s="372">
        <f t="shared" si="15"/>
        <v>625700000</v>
      </c>
      <c r="BT62" s="372">
        <f t="shared" si="15"/>
        <v>381557452.67857146</v>
      </c>
      <c r="BU62" s="372">
        <f t="shared" si="15"/>
        <v>719369330</v>
      </c>
      <c r="BV62" s="372">
        <f t="shared" si="15"/>
        <v>1827406528</v>
      </c>
      <c r="BW62" s="372">
        <f t="shared" si="15"/>
        <v>2106882159.4900002</v>
      </c>
      <c r="BX62" s="372">
        <f t="shared" si="15"/>
        <v>1072454330</v>
      </c>
      <c r="BY62" s="372">
        <f t="shared" si="15"/>
        <v>897872410.52920103</v>
      </c>
      <c r="BZ62" s="372">
        <f t="shared" si="15"/>
        <v>550631661</v>
      </c>
      <c r="CA62" s="372">
        <f t="shared" si="15"/>
        <v>499922925</v>
      </c>
      <c r="CB62" s="372">
        <f t="shared" si="15"/>
        <v>614199355</v>
      </c>
      <c r="CC62" s="372">
        <f t="shared" si="15"/>
        <v>467938669</v>
      </c>
    </row>
    <row r="63" spans="1:81" x14ac:dyDescent="0.3">
      <c r="A63" s="2">
        <v>31</v>
      </c>
      <c r="B63" s="20" t="s">
        <v>38</v>
      </c>
      <c r="C63" s="22">
        <f t="shared" ref="C63:H63" si="16">(C13/C17)*100</f>
        <v>43.278006201996405</v>
      </c>
      <c r="D63" s="22">
        <f t="shared" si="16"/>
        <v>99.566834055542088</v>
      </c>
      <c r="E63" s="22">
        <f t="shared" si="16"/>
        <v>67.433241471063383</v>
      </c>
      <c r="F63" s="22">
        <f t="shared" si="16"/>
        <v>74.979585170667974</v>
      </c>
      <c r="G63" s="22" t="e">
        <f t="shared" si="16"/>
        <v>#DIV/0!</v>
      </c>
      <c r="H63" s="22">
        <f t="shared" si="16"/>
        <v>64.427474060149976</v>
      </c>
      <c r="I63" s="22"/>
      <c r="J63" s="22" t="e">
        <f t="shared" ref="J63:U63" si="17">(J13/J17)*100</f>
        <v>#DIV/0!</v>
      </c>
      <c r="K63" s="408">
        <f t="shared" si="17"/>
        <v>56.453491595406888</v>
      </c>
      <c r="L63" s="22">
        <f t="shared" si="17"/>
        <v>78.551698626198572</v>
      </c>
      <c r="M63" s="22">
        <f t="shared" si="17"/>
        <v>59.014620033058819</v>
      </c>
      <c r="N63" s="22">
        <f t="shared" si="17"/>
        <v>63.336854144867935</v>
      </c>
      <c r="O63" s="22">
        <f t="shared" si="17"/>
        <v>49.774383713191348</v>
      </c>
      <c r="P63" s="22">
        <f t="shared" si="17"/>
        <v>67.266136766499415</v>
      </c>
      <c r="Q63" s="22">
        <f t="shared" si="17"/>
        <v>100.12478377672034</v>
      </c>
      <c r="R63" s="22">
        <f t="shared" si="17"/>
        <v>76.906216162021252</v>
      </c>
      <c r="S63" s="22">
        <f t="shared" si="17"/>
        <v>81.671202177044975</v>
      </c>
      <c r="T63" s="22">
        <f t="shared" si="17"/>
        <v>85.851130308859354</v>
      </c>
      <c r="U63" s="22">
        <f t="shared" si="17"/>
        <v>72.40079359930661</v>
      </c>
      <c r="V63" s="22"/>
      <c r="W63" s="22">
        <f t="shared" ref="W63:AU63" si="18">(W13/W17)*100</f>
        <v>57.646403104463992</v>
      </c>
      <c r="X63" s="22">
        <f t="shared" si="18"/>
        <v>50.541786865640859</v>
      </c>
      <c r="Y63" s="22">
        <f t="shared" si="18"/>
        <v>86.48800884446382</v>
      </c>
      <c r="Z63" s="22">
        <f t="shared" si="18"/>
        <v>91.874321195456417</v>
      </c>
      <c r="AA63" s="22">
        <f t="shared" si="18"/>
        <v>78.091132961538918</v>
      </c>
      <c r="AB63" s="22">
        <f t="shared" si="18"/>
        <v>65.702980789330212</v>
      </c>
      <c r="AC63" s="22">
        <f t="shared" si="18"/>
        <v>68.104673536910497</v>
      </c>
      <c r="AD63" s="22">
        <f t="shared" si="18"/>
        <v>99.784649440348659</v>
      </c>
      <c r="AE63" s="22">
        <f t="shared" si="18"/>
        <v>74.145411525397378</v>
      </c>
      <c r="AF63" s="22">
        <f t="shared" si="18"/>
        <v>76.987931889568529</v>
      </c>
      <c r="AG63" s="22">
        <f t="shared" si="18"/>
        <v>80.764530388322811</v>
      </c>
      <c r="AH63" s="22">
        <f t="shared" si="18"/>
        <v>72.505197419250223</v>
      </c>
      <c r="AI63" s="22" t="e">
        <f t="shared" si="18"/>
        <v>#DIV/0!</v>
      </c>
      <c r="AJ63" s="22">
        <f t="shared" si="18"/>
        <v>67.646732443592086</v>
      </c>
      <c r="AK63" s="22">
        <f t="shared" si="18"/>
        <v>54.044988566744621</v>
      </c>
      <c r="AL63" s="22">
        <f t="shared" si="18"/>
        <v>123.09862996629255</v>
      </c>
      <c r="AM63" s="22">
        <f t="shared" si="18"/>
        <v>71.883636278511602</v>
      </c>
      <c r="AN63" s="22">
        <f t="shared" si="18"/>
        <v>76.675240218169463</v>
      </c>
      <c r="AO63" s="22">
        <f t="shared" si="18"/>
        <v>66.17597671140453</v>
      </c>
      <c r="AP63" s="22">
        <f t="shared" si="18"/>
        <v>58.291148145449469</v>
      </c>
      <c r="AQ63" s="22">
        <f t="shared" si="18"/>
        <v>99.787146176786294</v>
      </c>
      <c r="AR63" s="22">
        <f t="shared" si="18"/>
        <v>73.910856286356491</v>
      </c>
      <c r="AS63" s="22">
        <f t="shared" si="18"/>
        <v>74.604519774011308</v>
      </c>
      <c r="AT63" s="22">
        <f t="shared" si="18"/>
        <v>76.133577406605639</v>
      </c>
      <c r="AU63" s="22">
        <f t="shared" si="18"/>
        <v>67.08439615926531</v>
      </c>
      <c r="AV63" s="22"/>
      <c r="AW63" s="22">
        <f t="shared" ref="AW63:BH63" si="19">(AW13/AW17)*100</f>
        <v>63.60281660736112</v>
      </c>
      <c r="AX63" s="22">
        <f t="shared" si="19"/>
        <v>47.18836432023879</v>
      </c>
      <c r="AY63" s="22">
        <f t="shared" si="19"/>
        <v>82.162685954661626</v>
      </c>
      <c r="AZ63" s="22">
        <f t="shared" si="19"/>
        <v>75.594230259806352</v>
      </c>
      <c r="BA63" s="22">
        <f t="shared" si="19"/>
        <v>65.444530808103011</v>
      </c>
      <c r="BB63" s="22">
        <f t="shared" si="19"/>
        <v>0</v>
      </c>
      <c r="BC63" s="22">
        <f t="shared" si="19"/>
        <v>56.632253339926223</v>
      </c>
      <c r="BD63" s="22">
        <f t="shared" si="19"/>
        <v>97.36226262415353</v>
      </c>
      <c r="BE63" s="22">
        <f t="shared" si="19"/>
        <v>71.649386147691203</v>
      </c>
      <c r="BF63" s="22">
        <f t="shared" si="19"/>
        <v>75.764327268226253</v>
      </c>
      <c r="BG63" s="22">
        <f t="shared" si="19"/>
        <v>71.351410649821048</v>
      </c>
      <c r="BH63" s="22">
        <f t="shared" si="19"/>
        <v>73.53426398894895</v>
      </c>
      <c r="BI63" s="22"/>
      <c r="BJ63" s="22">
        <f t="shared" ref="BJ63:BO63" si="20">(BJ13/BJ17)*100</f>
        <v>57.091362236709642</v>
      </c>
      <c r="BK63" s="22">
        <f t="shared" si="20"/>
        <v>50.78456872734489</v>
      </c>
      <c r="BL63" s="22">
        <f t="shared" si="20"/>
        <v>84.634272318574688</v>
      </c>
      <c r="BM63" s="22">
        <f t="shared" si="20"/>
        <v>64.349299419159493</v>
      </c>
      <c r="BN63" s="22">
        <f t="shared" si="20"/>
        <v>67.469670759563243</v>
      </c>
      <c r="BO63" s="22">
        <f t="shared" si="20"/>
        <v>67.306148286460072</v>
      </c>
      <c r="BP63" s="22">
        <f t="shared" ref="BP63:CC63" si="21">(BP13/BP17)*100</f>
        <v>0</v>
      </c>
      <c r="BQ63" s="22">
        <f t="shared" si="21"/>
        <v>0</v>
      </c>
      <c r="BR63" s="22">
        <f t="shared" si="21"/>
        <v>0</v>
      </c>
      <c r="BS63" s="22">
        <f t="shared" si="21"/>
        <v>0</v>
      </c>
      <c r="BT63" s="22">
        <f t="shared" si="21"/>
        <v>0</v>
      </c>
      <c r="BU63" s="22">
        <f t="shared" si="21"/>
        <v>0</v>
      </c>
      <c r="BV63" s="22">
        <f t="shared" si="21"/>
        <v>0</v>
      </c>
      <c r="BW63" s="22">
        <f t="shared" si="21"/>
        <v>0</v>
      </c>
      <c r="BX63" s="22">
        <f t="shared" si="21"/>
        <v>0</v>
      </c>
      <c r="BY63" s="22">
        <f t="shared" si="21"/>
        <v>0</v>
      </c>
      <c r="BZ63" s="22">
        <f t="shared" si="21"/>
        <v>0</v>
      </c>
      <c r="CA63" s="22">
        <f t="shared" si="21"/>
        <v>0</v>
      </c>
      <c r="CB63" s="22">
        <f t="shared" si="21"/>
        <v>0</v>
      </c>
      <c r="CC63" s="22">
        <f t="shared" si="21"/>
        <v>68.809311084552689</v>
      </c>
    </row>
    <row r="64" spans="1:81" x14ac:dyDescent="0.3">
      <c r="A64" s="2">
        <v>32</v>
      </c>
      <c r="B64" s="20" t="s">
        <v>47</v>
      </c>
      <c r="C64" s="22">
        <f t="shared" ref="C64:H64" si="22">(C14/C17)*100</f>
        <v>55.019965796825034</v>
      </c>
      <c r="D64" s="22">
        <f t="shared" si="22"/>
        <v>0</v>
      </c>
      <c r="E64" s="22">
        <f t="shared" si="22"/>
        <v>24.983369761474862</v>
      </c>
      <c r="F64" s="22">
        <f t="shared" si="22"/>
        <v>25.020414829332026</v>
      </c>
      <c r="G64" s="22" t="e">
        <f t="shared" si="22"/>
        <v>#DIV/0!</v>
      </c>
      <c r="H64" s="22">
        <f t="shared" si="22"/>
        <v>25.531828829915838</v>
      </c>
      <c r="I64" s="22"/>
      <c r="J64" s="22" t="e">
        <f t="shared" ref="J64:U64" si="23">(J14/J17)*100</f>
        <v>#DIV/0!</v>
      </c>
      <c r="K64" s="408">
        <f t="shared" si="23"/>
        <v>39.218037074002623</v>
      </c>
      <c r="L64" s="22">
        <f t="shared" si="23"/>
        <v>29.712852427134433</v>
      </c>
      <c r="M64" s="22">
        <f t="shared" si="23"/>
        <v>39.155909275828087</v>
      </c>
      <c r="N64" s="22">
        <f t="shared" si="23"/>
        <v>36.061101208922359</v>
      </c>
      <c r="O64" s="22">
        <f t="shared" si="23"/>
        <v>41.127023189983696</v>
      </c>
      <c r="P64" s="22">
        <f t="shared" si="23"/>
        <v>31.70621290836861</v>
      </c>
      <c r="Q64" s="22">
        <f t="shared" si="23"/>
        <v>0</v>
      </c>
      <c r="R64" s="22">
        <f t="shared" si="23"/>
        <v>19.490675756968116</v>
      </c>
      <c r="S64" s="22">
        <f t="shared" si="23"/>
        <v>18.328797822955018</v>
      </c>
      <c r="T64" s="22">
        <f t="shared" si="23"/>
        <v>17.778687844808179</v>
      </c>
      <c r="U64" s="22">
        <f t="shared" si="23"/>
        <v>13.060383480560178</v>
      </c>
      <c r="V64" s="22"/>
      <c r="W64" s="22">
        <f t="shared" ref="W64:AU64" si="24">(W14/W17)*100</f>
        <v>22.079180073975476</v>
      </c>
      <c r="X64" s="22">
        <f t="shared" si="24"/>
        <v>21.52489513957212</v>
      </c>
      <c r="Y64" s="22">
        <f t="shared" si="24"/>
        <v>22.465732730467927</v>
      </c>
      <c r="Z64" s="22">
        <f t="shared" si="24"/>
        <v>26.272380091824171</v>
      </c>
      <c r="AA64" s="22">
        <f t="shared" si="24"/>
        <v>23.116250495895656</v>
      </c>
      <c r="AB64" s="22">
        <f t="shared" si="24"/>
        <v>26.095735069660357</v>
      </c>
      <c r="AC64" s="22">
        <f t="shared" si="24"/>
        <v>30.232479812647</v>
      </c>
      <c r="AD64" s="22">
        <f t="shared" si="24"/>
        <v>0</v>
      </c>
      <c r="AE64" s="22">
        <f t="shared" si="24"/>
        <v>21.092853363302527</v>
      </c>
      <c r="AF64" s="22">
        <f t="shared" si="24"/>
        <v>23.012068110431478</v>
      </c>
      <c r="AG64" s="22">
        <f t="shared" si="24"/>
        <v>20.051053135251649</v>
      </c>
      <c r="AH64" s="22">
        <f t="shared" si="24"/>
        <v>14.496872483524825</v>
      </c>
      <c r="AI64" s="22" t="e">
        <f t="shared" si="24"/>
        <v>#DIV/0!</v>
      </c>
      <c r="AJ64" s="22">
        <f t="shared" si="24"/>
        <v>24.677914949048244</v>
      </c>
      <c r="AK64" s="22">
        <f t="shared" si="24"/>
        <v>21.935378694267801</v>
      </c>
      <c r="AL64" s="22">
        <f t="shared" si="24"/>
        <v>22.730984162875604</v>
      </c>
      <c r="AM64" s="22">
        <f t="shared" si="24"/>
        <v>29.522479499799076</v>
      </c>
      <c r="AN64" s="22">
        <f t="shared" si="24"/>
        <v>23.823218539017262</v>
      </c>
      <c r="AO64" s="22">
        <f t="shared" si="24"/>
        <v>25.646651969896123</v>
      </c>
      <c r="AP64" s="22">
        <f t="shared" si="24"/>
        <v>40.312650082040399</v>
      </c>
      <c r="AQ64" s="22">
        <f t="shared" si="24"/>
        <v>0</v>
      </c>
      <c r="AR64" s="22">
        <f t="shared" si="24"/>
        <v>24.668443317169139</v>
      </c>
      <c r="AS64" s="22">
        <f t="shared" si="24"/>
        <v>25.395480225988699</v>
      </c>
      <c r="AT64" s="22">
        <f t="shared" si="24"/>
        <v>22.989450307100395</v>
      </c>
      <c r="AU64" s="22">
        <f t="shared" si="24"/>
        <v>19.958352337782241</v>
      </c>
      <c r="AV64" s="22"/>
      <c r="AW64" s="22">
        <f t="shared" ref="AW64:BH64" si="25">(AW14/AW17)*100</f>
        <v>29.797078947052348</v>
      </c>
      <c r="AX64" s="22">
        <f t="shared" si="25"/>
        <v>29.136477507167985</v>
      </c>
      <c r="AY64" s="22">
        <f t="shared" si="25"/>
        <v>25.741385289702773</v>
      </c>
      <c r="AZ64" s="22">
        <f t="shared" si="25"/>
        <v>30.178813357534125</v>
      </c>
      <c r="BA64" s="22">
        <f t="shared" si="25"/>
        <v>27.66457040309519</v>
      </c>
      <c r="BB64" s="22">
        <f t="shared" si="25"/>
        <v>29.500305701040798</v>
      </c>
      <c r="BC64" s="22">
        <f t="shared" si="25"/>
        <v>42.267879358960364</v>
      </c>
      <c r="BD64" s="22">
        <f t="shared" si="25"/>
        <v>4.3465295814354254</v>
      </c>
      <c r="BE64" s="22">
        <f t="shared" si="25"/>
        <v>25.224709770982461</v>
      </c>
      <c r="BF64" s="22">
        <f t="shared" si="25"/>
        <v>24.235672731773729</v>
      </c>
      <c r="BG64" s="22">
        <f t="shared" si="25"/>
        <v>23.06743035065789</v>
      </c>
      <c r="BH64" s="22">
        <f t="shared" si="25"/>
        <v>20.227882351224842</v>
      </c>
      <c r="BI64" s="22"/>
      <c r="BJ64" s="22">
        <f t="shared" ref="BJ64:BO64" si="26">(BJ14/BJ17)*100</f>
        <v>28.791524381320006</v>
      </c>
      <c r="BK64" s="22">
        <f t="shared" si="26"/>
        <v>31.800361362801233</v>
      </c>
      <c r="BL64" s="22">
        <f t="shared" si="26"/>
        <v>27.438813428504478</v>
      </c>
      <c r="BM64" s="22">
        <f t="shared" si="26"/>
        <v>32.473042935627426</v>
      </c>
      <c r="BN64" s="22">
        <f t="shared" si="26"/>
        <v>28.333056713011228</v>
      </c>
      <c r="BO64" s="22">
        <f t="shared" si="26"/>
        <v>31.560261529770589</v>
      </c>
      <c r="BP64" s="22">
        <f t="shared" ref="BP64:CC64" si="27">(BP14/BP17)*100</f>
        <v>43.51824817119001</v>
      </c>
      <c r="BQ64" s="22">
        <f t="shared" si="27"/>
        <v>19.7041273187378</v>
      </c>
      <c r="BR64" s="22">
        <f t="shared" si="27"/>
        <v>26.26233939665255</v>
      </c>
      <c r="BS64" s="22">
        <f t="shared" si="27"/>
        <v>24.047098810390871</v>
      </c>
      <c r="BT64" s="22">
        <f t="shared" si="27"/>
        <v>20.066834285003402</v>
      </c>
      <c r="BU64" s="22">
        <f t="shared" si="27"/>
        <v>21.487879809351785</v>
      </c>
      <c r="BV64" s="22">
        <f t="shared" si="27"/>
        <v>23.226697430135303</v>
      </c>
      <c r="BW64" s="22">
        <f t="shared" si="27"/>
        <v>29.566253401497111</v>
      </c>
      <c r="BX64" s="22">
        <f t="shared" si="27"/>
        <v>40.181492217484596</v>
      </c>
      <c r="BY64" s="22">
        <f t="shared" si="27"/>
        <v>19.803881138005227</v>
      </c>
      <c r="BZ64" s="22">
        <f t="shared" si="27"/>
        <v>31.325068143198067</v>
      </c>
      <c r="CA64" s="22">
        <f t="shared" si="27"/>
        <v>26.662761531444218</v>
      </c>
      <c r="CB64" s="22">
        <f t="shared" si="27"/>
        <v>30.679335717953897</v>
      </c>
      <c r="CC64" s="22">
        <f t="shared" si="27"/>
        <v>28.36209045152437</v>
      </c>
    </row>
    <row r="65" spans="1:81" x14ac:dyDescent="0.3">
      <c r="A65" s="2">
        <v>33</v>
      </c>
      <c r="B65" s="20" t="s">
        <v>46</v>
      </c>
      <c r="C65" s="22">
        <f t="shared" ref="C65:H65" si="28">(C62/C17)*100</f>
        <v>44.980034203174974</v>
      </c>
      <c r="D65" s="22">
        <f t="shared" si="28"/>
        <v>100</v>
      </c>
      <c r="E65" s="22">
        <f t="shared" si="28"/>
        <v>75.016630238525138</v>
      </c>
      <c r="F65" s="22">
        <f t="shared" si="28"/>
        <v>74.979585170667974</v>
      </c>
      <c r="G65" s="22" t="e">
        <f t="shared" si="28"/>
        <v>#DIV/0!</v>
      </c>
      <c r="H65" s="22">
        <f t="shared" si="28"/>
        <v>74.468171170084162</v>
      </c>
      <c r="I65" s="22"/>
      <c r="J65" s="22" t="e">
        <f t="shared" ref="J65:U65" si="29">(J62/J17)*100</f>
        <v>#DIV/0!</v>
      </c>
      <c r="K65" s="408">
        <f t="shared" si="29"/>
        <v>60.781962925997377</v>
      </c>
      <c r="L65" s="22">
        <f t="shared" si="29"/>
        <v>70.287147572865564</v>
      </c>
      <c r="M65" s="22">
        <f t="shared" si="29"/>
        <v>60.84409072417192</v>
      </c>
      <c r="N65" s="22">
        <f t="shared" si="29"/>
        <v>63.938898791077634</v>
      </c>
      <c r="O65" s="22">
        <f t="shared" si="29"/>
        <v>58.872976810016311</v>
      </c>
      <c r="P65" s="22">
        <f t="shared" si="29"/>
        <v>68.293787091631401</v>
      </c>
      <c r="Q65" s="22">
        <f t="shared" si="29"/>
        <v>100</v>
      </c>
      <c r="R65" s="22">
        <f t="shared" si="29"/>
        <v>80.509324243031884</v>
      </c>
      <c r="S65" s="22">
        <f t="shared" si="29"/>
        <v>81.671202177044975</v>
      </c>
      <c r="T65" s="22">
        <f t="shared" si="29"/>
        <v>82.221312155191811</v>
      </c>
      <c r="U65" s="22">
        <f t="shared" si="29"/>
        <v>86.939616519439824</v>
      </c>
      <c r="V65" s="22"/>
      <c r="W65" s="22">
        <f t="shared" ref="W65:AU65" si="30">(W62/W17)*100</f>
        <v>77.920819926024521</v>
      </c>
      <c r="X65" s="22">
        <f t="shared" si="30"/>
        <v>78.475104860427891</v>
      </c>
      <c r="Y65" s="22">
        <f t="shared" si="30"/>
        <v>77.53426726953208</v>
      </c>
      <c r="Z65" s="22">
        <f t="shared" si="30"/>
        <v>73.727619908175825</v>
      </c>
      <c r="AA65" s="22">
        <f t="shared" si="30"/>
        <v>76.883749504104344</v>
      </c>
      <c r="AB65" s="22">
        <f t="shared" si="30"/>
        <v>73.904264930339636</v>
      </c>
      <c r="AC65" s="22">
        <f t="shared" si="30"/>
        <v>69.767520187353</v>
      </c>
      <c r="AD65" s="22">
        <f t="shared" si="30"/>
        <v>100</v>
      </c>
      <c r="AE65" s="22">
        <f t="shared" si="30"/>
        <v>78.907146636697476</v>
      </c>
      <c r="AF65" s="22">
        <f t="shared" si="30"/>
        <v>76.987931889568529</v>
      </c>
      <c r="AG65" s="22">
        <f t="shared" si="30"/>
        <v>79.948946864748351</v>
      </c>
      <c r="AH65" s="22">
        <f t="shared" si="30"/>
        <v>85.503127516475175</v>
      </c>
      <c r="AI65" s="22" t="e">
        <f t="shared" si="30"/>
        <v>#DIV/0!</v>
      </c>
      <c r="AJ65" s="22">
        <f t="shared" si="30"/>
        <v>75.322085050951756</v>
      </c>
      <c r="AK65" s="22">
        <f t="shared" si="30"/>
        <v>78.064621305732203</v>
      </c>
      <c r="AL65" s="22">
        <f t="shared" si="30"/>
        <v>77.2690158371244</v>
      </c>
      <c r="AM65" s="22">
        <f t="shared" si="30"/>
        <v>70.477520500200924</v>
      </c>
      <c r="AN65" s="22">
        <f t="shared" si="30"/>
        <v>76.176781460982738</v>
      </c>
      <c r="AO65" s="22">
        <f t="shared" si="30"/>
        <v>74.353348030103874</v>
      </c>
      <c r="AP65" s="22">
        <f t="shared" si="30"/>
        <v>59.687349917959601</v>
      </c>
      <c r="AQ65" s="22">
        <f t="shared" si="30"/>
        <v>100</v>
      </c>
      <c r="AR65" s="22">
        <f t="shared" si="30"/>
        <v>75.331556682830865</v>
      </c>
      <c r="AS65" s="22">
        <f t="shared" si="30"/>
        <v>74.604519774011308</v>
      </c>
      <c r="AT65" s="22">
        <f t="shared" si="30"/>
        <v>77.010549692899616</v>
      </c>
      <c r="AU65" s="22">
        <f t="shared" si="30"/>
        <v>80.041647662217756</v>
      </c>
      <c r="AV65" s="22"/>
      <c r="AW65" s="22">
        <f t="shared" ref="AW65:BH65" si="31">(AW62/AW17)*100</f>
        <v>70.202921052947659</v>
      </c>
      <c r="AX65" s="22">
        <f t="shared" si="31"/>
        <v>70.863522492832004</v>
      </c>
      <c r="AY65" s="22">
        <f t="shared" si="31"/>
        <v>74.258614710297223</v>
      </c>
      <c r="AZ65" s="22">
        <f t="shared" si="31"/>
        <v>69.821186642465875</v>
      </c>
      <c r="BA65" s="22">
        <f t="shared" si="31"/>
        <v>72.335429596904817</v>
      </c>
      <c r="BB65" s="22">
        <f t="shared" si="31"/>
        <v>70.499694298959199</v>
      </c>
      <c r="BC65" s="22">
        <f t="shared" si="31"/>
        <v>57.732120641039629</v>
      </c>
      <c r="BD65" s="22">
        <f t="shared" si="31"/>
        <v>95.653470418564581</v>
      </c>
      <c r="BE65" s="22">
        <f t="shared" si="31"/>
        <v>74.775290229017529</v>
      </c>
      <c r="BF65" s="22">
        <f t="shared" si="31"/>
        <v>75.764327268226268</v>
      </c>
      <c r="BG65" s="22">
        <f t="shared" si="31"/>
        <v>76.932569649342113</v>
      </c>
      <c r="BH65" s="22">
        <f t="shared" si="31"/>
        <v>79.772117648775165</v>
      </c>
      <c r="BI65" s="22"/>
      <c r="BJ65" s="22">
        <f t="shared" ref="BJ65:BO65" si="32">(BJ62/BJ17)*100</f>
        <v>71.208475618679984</v>
      </c>
      <c r="BK65" s="22">
        <f t="shared" si="32"/>
        <v>68.199638637198774</v>
      </c>
      <c r="BL65" s="22">
        <f t="shared" si="32"/>
        <v>72.561186571495526</v>
      </c>
      <c r="BM65" s="22">
        <f t="shared" si="32"/>
        <v>67.526957064372567</v>
      </c>
      <c r="BN65" s="22">
        <f t="shared" si="32"/>
        <v>71.666943286988769</v>
      </c>
      <c r="BO65" s="22">
        <f t="shared" si="32"/>
        <v>68.439738470229415</v>
      </c>
      <c r="BP65" s="22">
        <f t="shared" ref="BP65:CC65" si="33">(BP62/BP17)*100</f>
        <v>56.48175182880999</v>
      </c>
      <c r="BQ65" s="22">
        <f t="shared" si="33"/>
        <v>80.29587268126221</v>
      </c>
      <c r="BR65" s="22">
        <f t="shared" si="33"/>
        <v>73.73766060334745</v>
      </c>
      <c r="BS65" s="22">
        <f t="shared" si="33"/>
        <v>75.952901189609122</v>
      </c>
      <c r="BT65" s="22">
        <f t="shared" si="33"/>
        <v>79.933165714996605</v>
      </c>
      <c r="BU65" s="22">
        <f t="shared" si="33"/>
        <v>78.512120190648218</v>
      </c>
      <c r="BV65" s="22">
        <f t="shared" si="33"/>
        <v>76.773302569864697</v>
      </c>
      <c r="BW65" s="22">
        <f t="shared" si="33"/>
        <v>70.433746598502893</v>
      </c>
      <c r="BX65" s="22">
        <f t="shared" si="33"/>
        <v>59.818507782515404</v>
      </c>
      <c r="BY65" s="22">
        <f t="shared" si="33"/>
        <v>80.196118861994776</v>
      </c>
      <c r="BZ65" s="22">
        <f t="shared" si="33"/>
        <v>68.674931856801933</v>
      </c>
      <c r="CA65" s="22">
        <f t="shared" si="33"/>
        <v>73.337238468555782</v>
      </c>
      <c r="CB65" s="22">
        <f t="shared" si="33"/>
        <v>69.32066428204611</v>
      </c>
      <c r="CC65" s="22">
        <f t="shared" si="33"/>
        <v>71.637909548475633</v>
      </c>
    </row>
    <row r="66" spans="1:81" x14ac:dyDescent="0.3">
      <c r="A66" s="2">
        <v>34</v>
      </c>
      <c r="B66" s="20" t="s">
        <v>39</v>
      </c>
      <c r="C66" s="22"/>
      <c r="D66" s="22"/>
      <c r="E66" s="22"/>
      <c r="F66" s="22"/>
      <c r="G66" s="22"/>
      <c r="H66" s="22"/>
      <c r="I66" s="22"/>
      <c r="J66" s="22"/>
      <c r="K66" s="408"/>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row>
    <row r="67" spans="1:81" x14ac:dyDescent="0.3">
      <c r="A67" s="2">
        <v>35</v>
      </c>
      <c r="B67" s="20" t="s">
        <v>40</v>
      </c>
      <c r="C67" s="22">
        <f t="shared" ref="C67:H67" si="34">(C15/C5)</f>
        <v>1.1037691488041803</v>
      </c>
      <c r="D67" s="22">
        <f t="shared" si="34"/>
        <v>1.1528428254714902</v>
      </c>
      <c r="E67" s="22" t="e">
        <f t="shared" si="34"/>
        <v>#VALUE!</v>
      </c>
      <c r="F67" s="22">
        <f t="shared" si="34"/>
        <v>1.0932982210941533</v>
      </c>
      <c r="G67" s="22">
        <f t="shared" si="34"/>
        <v>0</v>
      </c>
      <c r="H67" s="22">
        <f t="shared" si="34"/>
        <v>1.2414391056127674</v>
      </c>
      <c r="I67" s="22"/>
      <c r="J67" s="22" t="e">
        <f t="shared" ref="J67:U67" si="35">(J15/J5)</f>
        <v>#DIV/0!</v>
      </c>
      <c r="K67" s="408">
        <f t="shared" si="35"/>
        <v>0.93726154356270486</v>
      </c>
      <c r="L67" s="22">
        <f t="shared" si="35"/>
        <v>0.89047737033811269</v>
      </c>
      <c r="M67" s="22">
        <f t="shared" si="35"/>
        <v>0.78558590617283952</v>
      </c>
      <c r="N67" s="22">
        <f t="shared" si="35"/>
        <v>0.9983285473145197</v>
      </c>
      <c r="O67" s="22">
        <f t="shared" si="35"/>
        <v>1.1633263192816206</v>
      </c>
      <c r="P67" s="22">
        <f t="shared" si="35"/>
        <v>1.2229136745109259</v>
      </c>
      <c r="Q67" s="22">
        <f t="shared" si="35"/>
        <v>1.2064040596933518</v>
      </c>
      <c r="R67" s="22">
        <f t="shared" si="35"/>
        <v>1.490595508086872</v>
      </c>
      <c r="S67" s="22">
        <f t="shared" si="35"/>
        <v>1.1386482741493205</v>
      </c>
      <c r="T67" s="22">
        <f t="shared" si="35"/>
        <v>1.122001144957544</v>
      </c>
      <c r="U67" s="22">
        <f t="shared" si="35"/>
        <v>1.2102252845733932</v>
      </c>
      <c r="V67" s="22"/>
      <c r="W67" s="22">
        <f t="shared" ref="W67:AU67" si="36">(W15/W5)</f>
        <v>1.2835696961795655</v>
      </c>
      <c r="X67" s="22">
        <f t="shared" si="36"/>
        <v>1.0344071637813781</v>
      </c>
      <c r="Y67" s="22">
        <f t="shared" si="36"/>
        <v>0.8272905744608523</v>
      </c>
      <c r="Z67" s="22">
        <f t="shared" si="36"/>
        <v>0.76198331916229678</v>
      </c>
      <c r="AA67" s="22">
        <f t="shared" si="36"/>
        <v>3.1950279027989876</v>
      </c>
      <c r="AB67" s="22">
        <f t="shared" si="36"/>
        <v>1.2822435520335451</v>
      </c>
      <c r="AC67" s="22">
        <f t="shared" si="36"/>
        <v>1.1901116334463606</v>
      </c>
      <c r="AD67" s="22">
        <f t="shared" si="36"/>
        <v>1.1953829633894677</v>
      </c>
      <c r="AE67" s="22">
        <f t="shared" si="36"/>
        <v>1.4352297879126343</v>
      </c>
      <c r="AF67" s="22">
        <f t="shared" si="36"/>
        <v>1.2590457152803611</v>
      </c>
      <c r="AG67" s="22">
        <f t="shared" si="36"/>
        <v>1.1623969156673237</v>
      </c>
      <c r="AH67" s="22">
        <f t="shared" si="36"/>
        <v>1.2655642058255709</v>
      </c>
      <c r="AI67" s="22">
        <f t="shared" si="36"/>
        <v>0</v>
      </c>
      <c r="AJ67" s="22">
        <f t="shared" si="36"/>
        <v>1.4100906699194182</v>
      </c>
      <c r="AK67" s="22">
        <f t="shared" si="36"/>
        <v>0.92170699746948215</v>
      </c>
      <c r="AL67" s="22">
        <f t="shared" si="36"/>
        <v>0.81938585735062797</v>
      </c>
      <c r="AM67" s="22">
        <f t="shared" si="36"/>
        <v>0.7887624281381157</v>
      </c>
      <c r="AN67" s="22">
        <f t="shared" si="36"/>
        <v>1.2094988925656598</v>
      </c>
      <c r="AO67" s="22">
        <f t="shared" si="36"/>
        <v>1.2551649579383566</v>
      </c>
      <c r="AP67" s="22">
        <f t="shared" si="36"/>
        <v>1.2802438781225616</v>
      </c>
      <c r="AQ67" s="22">
        <f t="shared" si="36"/>
        <v>1.4649225238196717</v>
      </c>
      <c r="AR67" s="22">
        <f t="shared" si="36"/>
        <v>1.4797322829144925</v>
      </c>
      <c r="AS67" s="22">
        <f t="shared" si="36"/>
        <v>1.4719784084738174</v>
      </c>
      <c r="AT67" s="22">
        <f t="shared" si="36"/>
        <v>1.2330884758287628</v>
      </c>
      <c r="AU67" s="22">
        <f t="shared" si="36"/>
        <v>1.3934264139600574</v>
      </c>
      <c r="AV67" s="22"/>
      <c r="AW67" s="22">
        <f t="shared" ref="AW67:BH67" si="37">(AW15/AW5)</f>
        <v>1.1806347279495024</v>
      </c>
      <c r="AX67" s="22">
        <f t="shared" si="37"/>
        <v>1.0717346750611192</v>
      </c>
      <c r="AY67" s="22">
        <f t="shared" si="37"/>
        <v>0.89294461601175856</v>
      </c>
      <c r="AZ67" s="22">
        <f t="shared" si="37"/>
        <v>0.87667124604207947</v>
      </c>
      <c r="BA67" s="22">
        <f t="shared" si="37"/>
        <v>1.2972195253246288</v>
      </c>
      <c r="BB67" s="22">
        <f t="shared" si="37"/>
        <v>1.4178401978987119</v>
      </c>
      <c r="BC67" s="22">
        <f t="shared" si="37"/>
        <v>1.4257632336081609</v>
      </c>
      <c r="BD67" s="22">
        <f t="shared" si="37"/>
        <v>1.4694826554263731</v>
      </c>
      <c r="BE67" s="22">
        <f t="shared" si="37"/>
        <v>1.63176595122524</v>
      </c>
      <c r="BF67" s="22">
        <f t="shared" si="37"/>
        <v>1.6966129917713322</v>
      </c>
      <c r="BG67" s="22">
        <f t="shared" si="37"/>
        <v>1.3424697275505337</v>
      </c>
      <c r="BH67" s="22">
        <f t="shared" si="37"/>
        <v>1.569100845984323</v>
      </c>
      <c r="BI67" s="22"/>
      <c r="BJ67" s="22">
        <f t="shared" ref="BJ67:BO67" si="38">(BJ15/BJ5)</f>
        <v>1.2814969607929476</v>
      </c>
      <c r="BK67" s="22">
        <f t="shared" si="38"/>
        <v>1.1925476817359455</v>
      </c>
      <c r="BL67" s="22">
        <f t="shared" si="38"/>
        <v>0.93177624846914042</v>
      </c>
      <c r="BM67" s="22">
        <f t="shared" si="38"/>
        <v>0.96118589819643319</v>
      </c>
      <c r="BN67" s="22">
        <f t="shared" si="38"/>
        <v>1.4646684286241569</v>
      </c>
      <c r="BO67" s="22">
        <f t="shared" si="38"/>
        <v>1.4840932762927388</v>
      </c>
      <c r="BP67" s="22">
        <f t="shared" ref="BP67:CC67" si="39">(BP15/BP5)</f>
        <v>1.4622763393616649</v>
      </c>
      <c r="BQ67" s="22" t="e">
        <f t="shared" si="39"/>
        <v>#VALUE!</v>
      </c>
      <c r="BR67" s="22">
        <f t="shared" si="39"/>
        <v>1.6959212836654649</v>
      </c>
      <c r="BS67" s="22">
        <f t="shared" si="39"/>
        <v>1.7044937745469411</v>
      </c>
      <c r="BT67" s="22">
        <f t="shared" si="39"/>
        <v>1.3421982266051899</v>
      </c>
      <c r="BU67" s="22">
        <f t="shared" si="39"/>
        <v>1.6503976960227673</v>
      </c>
      <c r="BV67" s="22">
        <f t="shared" si="39"/>
        <v>2.1471514565686571</v>
      </c>
      <c r="BW67" s="22">
        <f t="shared" si="39"/>
        <v>1.3592248111604128</v>
      </c>
      <c r="BX67" s="22">
        <f t="shared" si="39"/>
        <v>1.2411318401013771</v>
      </c>
      <c r="BY67" s="22">
        <f t="shared" si="39"/>
        <v>1.2233247181298545</v>
      </c>
      <c r="BZ67" s="22">
        <f t="shared" si="39"/>
        <v>1.0033333230222681</v>
      </c>
      <c r="CA67" s="22">
        <f t="shared" si="39"/>
        <v>1.5089806310414686</v>
      </c>
      <c r="CB67" s="22">
        <f t="shared" si="39"/>
        <v>1.5864638532635491</v>
      </c>
      <c r="CC67" s="22">
        <f t="shared" si="39"/>
        <v>1.6261683488029113</v>
      </c>
    </row>
    <row r="68" spans="1:81" x14ac:dyDescent="0.3">
      <c r="A68" s="2">
        <v>37</v>
      </c>
      <c r="B68" s="20" t="s">
        <v>41</v>
      </c>
      <c r="C68" s="22">
        <f t="shared" ref="C68:H68" si="40">C17/C6</f>
        <v>19.414428076313182</v>
      </c>
      <c r="D68" s="22">
        <f t="shared" si="40"/>
        <v>149.62555882730146</v>
      </c>
      <c r="E68" s="22">
        <f t="shared" si="40"/>
        <v>93.131261889214954</v>
      </c>
      <c r="F68" s="22">
        <f t="shared" si="40"/>
        <v>60.074337946063977</v>
      </c>
      <c r="G68" s="22">
        <f t="shared" si="40"/>
        <v>0</v>
      </c>
      <c r="H68" s="22">
        <f t="shared" si="40"/>
        <v>59.421478332237911</v>
      </c>
      <c r="I68" s="22"/>
      <c r="J68" s="22" t="e">
        <f t="shared" ref="J68:U68" si="41">J17/J6</f>
        <v>#DIV/0!</v>
      </c>
      <c r="K68" s="408">
        <f t="shared" si="41"/>
        <v>29.334813568523479</v>
      </c>
      <c r="L68" s="22">
        <f t="shared" si="41"/>
        <v>34.830684755927358</v>
      </c>
      <c r="M68" s="22">
        <f t="shared" si="41"/>
        <v>106.02354952683622</v>
      </c>
      <c r="N68" s="22">
        <f t="shared" si="41"/>
        <v>62.993852563252531</v>
      </c>
      <c r="O68" s="22">
        <f t="shared" si="41"/>
        <v>45.885251171123912</v>
      </c>
      <c r="P68" s="22">
        <f t="shared" si="41"/>
        <v>32.218307022113507</v>
      </c>
      <c r="Q68" s="22">
        <f t="shared" si="41"/>
        <v>193.69924228115028</v>
      </c>
      <c r="R68" s="22">
        <f t="shared" si="41"/>
        <v>132.45808825023451</v>
      </c>
      <c r="S68" s="22">
        <f t="shared" si="41"/>
        <v>88.716653324375045</v>
      </c>
      <c r="T68" s="22">
        <f t="shared" si="41"/>
        <v>75.841203731224908</v>
      </c>
      <c r="U68" s="22">
        <f t="shared" si="41"/>
        <v>81.331152181321855</v>
      </c>
      <c r="V68" s="22"/>
      <c r="W68" s="22">
        <f t="shared" ref="W68:AU68" si="42">W17/W6</f>
        <v>618.52143742502994</v>
      </c>
      <c r="X68" s="22">
        <f t="shared" si="42"/>
        <v>48.027107265682993</v>
      </c>
      <c r="Y68" s="22">
        <f t="shared" si="42"/>
        <v>47.864289681157238</v>
      </c>
      <c r="Z68" s="22">
        <f t="shared" si="42"/>
        <v>150.25268388860218</v>
      </c>
      <c r="AA68" s="22">
        <f t="shared" si="42"/>
        <v>92.666924760897643</v>
      </c>
      <c r="AB68" s="22">
        <f t="shared" si="42"/>
        <v>62.08728790568918</v>
      </c>
      <c r="AC68" s="22">
        <f t="shared" si="42"/>
        <v>33.074134370407428</v>
      </c>
      <c r="AD68" s="22">
        <f t="shared" si="42"/>
        <v>277.47530603829159</v>
      </c>
      <c r="AE68" s="22">
        <f t="shared" si="42"/>
        <v>125.83330400811396</v>
      </c>
      <c r="AF68" s="22">
        <f t="shared" si="42"/>
        <v>89.721323995433394</v>
      </c>
      <c r="AG68" s="22">
        <f t="shared" si="42"/>
        <v>81.91079844450978</v>
      </c>
      <c r="AH68" s="22">
        <f t="shared" si="42"/>
        <v>80.320551076407412</v>
      </c>
      <c r="AI68" s="22">
        <f t="shared" si="42"/>
        <v>0</v>
      </c>
      <c r="AJ68" s="22">
        <f t="shared" si="42"/>
        <v>54.653026536495872</v>
      </c>
      <c r="AK68" s="22">
        <f t="shared" si="42"/>
        <v>39.399378123588711</v>
      </c>
      <c r="AL68" s="22">
        <f t="shared" si="42"/>
        <v>49.282074633052027</v>
      </c>
      <c r="AM68" s="22">
        <f t="shared" si="42"/>
        <v>159.72165882265753</v>
      </c>
      <c r="AN68" s="22">
        <f t="shared" si="42"/>
        <v>93.365767970445816</v>
      </c>
      <c r="AO68" s="22">
        <f t="shared" si="42"/>
        <v>54.353214111234998</v>
      </c>
      <c r="AP68" s="22">
        <f t="shared" si="42"/>
        <v>26.636278772931217</v>
      </c>
      <c r="AQ68" s="22">
        <f t="shared" si="42"/>
        <v>297.59878286637303</v>
      </c>
      <c r="AR68" s="22">
        <f t="shared" si="42"/>
        <v>113.65902166275609</v>
      </c>
      <c r="AS68" s="22">
        <f t="shared" si="42"/>
        <v>96.167886309998806</v>
      </c>
      <c r="AT68" s="22">
        <f t="shared" si="42"/>
        <v>68.149647833135433</v>
      </c>
      <c r="AU68" s="22">
        <f t="shared" si="42"/>
        <v>72.889715835642207</v>
      </c>
      <c r="AV68" s="22"/>
      <c r="AW68" s="22">
        <f t="shared" ref="AW68:BH68" si="43">AW17/AW6</f>
        <v>43.790112049130698</v>
      </c>
      <c r="AX68" s="22">
        <f t="shared" si="43"/>
        <v>37.040911399875611</v>
      </c>
      <c r="AY68" s="22">
        <f t="shared" si="43"/>
        <v>40.625990470454241</v>
      </c>
      <c r="AZ68" s="22">
        <f t="shared" si="43"/>
        <v>142.63334233581668</v>
      </c>
      <c r="BA68" s="22">
        <f t="shared" si="43"/>
        <v>91.218765117261015</v>
      </c>
      <c r="BB68" s="22">
        <f t="shared" si="43"/>
        <v>47.613063038190674</v>
      </c>
      <c r="BC68" s="22">
        <f t="shared" si="43"/>
        <v>26.269531888305441</v>
      </c>
      <c r="BD68" s="22">
        <f t="shared" si="43"/>
        <v>191.82652913526374</v>
      </c>
      <c r="BE68" s="22">
        <f t="shared" si="43"/>
        <v>111.67021390645263</v>
      </c>
      <c r="BF68" s="22">
        <f t="shared" si="43"/>
        <v>91.41850768197223</v>
      </c>
      <c r="BG68" s="22">
        <f t="shared" si="43"/>
        <v>66.869785053411832</v>
      </c>
      <c r="BH68" s="22">
        <f t="shared" si="43"/>
        <v>75.682923478704936</v>
      </c>
      <c r="BI68" s="22"/>
      <c r="BJ68" s="22">
        <f t="shared" ref="BJ68:BO68" si="44">BJ17/BJ6</f>
        <v>44.456455708645812</v>
      </c>
      <c r="BK68" s="22">
        <f t="shared" si="44"/>
        <v>35.568023316519685</v>
      </c>
      <c r="BL68" s="22">
        <f t="shared" si="44"/>
        <v>37.668797295649433</v>
      </c>
      <c r="BM68" s="22">
        <f t="shared" si="44"/>
        <v>115.42326069023221</v>
      </c>
      <c r="BN68" s="22">
        <f t="shared" si="44"/>
        <v>88.750316905528351</v>
      </c>
      <c r="BO68" s="22">
        <f t="shared" si="44"/>
        <v>46.123628024287129</v>
      </c>
      <c r="BP68" s="22">
        <f t="shared" ref="BP68:CC68" si="45">BP17/BP6</f>
        <v>26.58340840516696</v>
      </c>
      <c r="BQ68" s="22">
        <f t="shared" si="45"/>
        <v>224.60647353250997</v>
      </c>
      <c r="BR68" s="22">
        <f t="shared" si="45"/>
        <v>112.52286404704331</v>
      </c>
      <c r="BS68" s="22">
        <f t="shared" si="45"/>
        <v>97.091234764083509</v>
      </c>
      <c r="BT68" s="22">
        <f t="shared" si="45"/>
        <v>74.913982544653763</v>
      </c>
      <c r="BU68" s="22">
        <f t="shared" si="45"/>
        <v>74.475483471528818</v>
      </c>
      <c r="BV68" s="22">
        <f t="shared" si="45"/>
        <v>67.382568402522537</v>
      </c>
      <c r="BW68" s="22">
        <f t="shared" si="45"/>
        <v>45.963738051035008</v>
      </c>
      <c r="BX68" s="22">
        <f t="shared" si="45"/>
        <v>35.968153703194545</v>
      </c>
      <c r="BY68" s="22">
        <f t="shared" si="45"/>
        <v>51.236327656267214</v>
      </c>
      <c r="BZ68" s="22">
        <f t="shared" si="45"/>
        <v>131.09140985422721</v>
      </c>
      <c r="CA68" s="22">
        <f t="shared" si="45"/>
        <v>90.600364354260691</v>
      </c>
      <c r="CB68" s="22">
        <f t="shared" si="45"/>
        <v>48.687892362734452</v>
      </c>
      <c r="CC68" s="22">
        <f t="shared" si="45"/>
        <v>64.90652364438526</v>
      </c>
    </row>
    <row r="69" spans="1:81" x14ac:dyDescent="0.3">
      <c r="A69" s="2">
        <v>38</v>
      </c>
      <c r="B69" s="20" t="s">
        <v>42</v>
      </c>
      <c r="C69" s="22">
        <f t="shared" ref="C69:H69" si="46">C14/C6</f>
        <v>10.681811687236708</v>
      </c>
      <c r="D69" s="22">
        <f t="shared" si="46"/>
        <v>0</v>
      </c>
      <c r="E69" s="22">
        <f t="shared" si="46"/>
        <v>23.26732752131009</v>
      </c>
      <c r="F69" s="22">
        <f t="shared" si="46"/>
        <v>15.030848560080029</v>
      </c>
      <c r="G69" s="22">
        <f t="shared" si="46"/>
        <v>0</v>
      </c>
      <c r="H69" s="22">
        <f t="shared" si="46"/>
        <v>15.171390135992512</v>
      </c>
      <c r="I69" s="22"/>
      <c r="J69" s="22" t="e">
        <f t="shared" ref="J69:U69" si="47">J14/J6</f>
        <v>#DIV/0!</v>
      </c>
      <c r="K69" s="408">
        <f t="shared" si="47"/>
        <v>11.504538060893092</v>
      </c>
      <c r="L69" s="22">
        <f t="shared" si="47"/>
        <v>10.349189960889106</v>
      </c>
      <c r="M69" s="22">
        <f t="shared" si="47"/>
        <v>41.514484863740648</v>
      </c>
      <c r="N69" s="22">
        <f t="shared" si="47"/>
        <v>22.716276928233828</v>
      </c>
      <c r="O69" s="22">
        <f t="shared" si="47"/>
        <v>18.871237889930395</v>
      </c>
      <c r="P69" s="22">
        <f t="shared" si="47"/>
        <v>10.215205019903182</v>
      </c>
      <c r="Q69" s="22">
        <f t="shared" si="47"/>
        <v>0</v>
      </c>
      <c r="R69" s="22">
        <f t="shared" si="47"/>
        <v>25.81697649473189</v>
      </c>
      <c r="S69" s="22">
        <f t="shared" si="47"/>
        <v>16.260696023116601</v>
      </c>
      <c r="T69" s="22">
        <f t="shared" si="47"/>
        <v>13.483570869119488</v>
      </c>
      <c r="U69" s="22">
        <f t="shared" si="47"/>
        <v>10.622160364038619</v>
      </c>
      <c r="V69" s="22"/>
      <c r="W69" s="22">
        <f t="shared" ref="W69:AU69" si="48">W14/W6</f>
        <v>136.56446196521392</v>
      </c>
      <c r="X69" s="22">
        <f t="shared" si="48"/>
        <v>10.337784477508087</v>
      </c>
      <c r="Y69" s="22">
        <f t="shared" si="48"/>
        <v>10.753063393105723</v>
      </c>
      <c r="Z69" s="22">
        <f t="shared" si="48"/>
        <v>39.474956209380622</v>
      </c>
      <c r="AA69" s="22">
        <f t="shared" si="48"/>
        <v>21.421118454572255</v>
      </c>
      <c r="AB69" s="22">
        <f t="shared" si="48"/>
        <v>16.202134163805926</v>
      </c>
      <c r="AC69" s="22">
        <f t="shared" si="48"/>
        <v>9.9991309967411688</v>
      </c>
      <c r="AD69" s="22">
        <f t="shared" si="48"/>
        <v>0</v>
      </c>
      <c r="AE69" s="22">
        <f t="shared" si="48"/>
        <v>26.541834296630157</v>
      </c>
      <c r="AF69" s="22">
        <f t="shared" si="48"/>
        <v>20.646732187410031</v>
      </c>
      <c r="AG69" s="22">
        <f t="shared" si="48"/>
        <v>16.423977719617536</v>
      </c>
      <c r="AH69" s="22">
        <f t="shared" si="48"/>
        <v>11.643967867611209</v>
      </c>
      <c r="AI69" s="22">
        <f t="shared" si="48"/>
        <v>0</v>
      </c>
      <c r="AJ69" s="22">
        <f t="shared" si="48"/>
        <v>13.487227405757219</v>
      </c>
      <c r="AK69" s="22">
        <f t="shared" si="48"/>
        <v>8.6424027945956876</v>
      </c>
      <c r="AL69" s="22">
        <f t="shared" si="48"/>
        <v>11.20230057997559</v>
      </c>
      <c r="AM69" s="22">
        <f t="shared" si="48"/>
        <v>47.153793982658087</v>
      </c>
      <c r="AN69" s="22">
        <f t="shared" si="48"/>
        <v>22.242730944231091</v>
      </c>
      <c r="AO69" s="22">
        <f t="shared" si="48"/>
        <v>13.939779657560909</v>
      </c>
      <c r="AP69" s="22">
        <f t="shared" si="48"/>
        <v>10.737789856608565</v>
      </c>
      <c r="AQ69" s="22">
        <f t="shared" si="48"/>
        <v>0</v>
      </c>
      <c r="AR69" s="22">
        <f t="shared" si="48"/>
        <v>28.03791133372598</v>
      </c>
      <c r="AS69" s="22">
        <f t="shared" si="48"/>
        <v>24.422296551607044</v>
      </c>
      <c r="AT69" s="22">
        <f t="shared" si="48"/>
        <v>15.66722942306259</v>
      </c>
      <c r="AU69" s="22">
        <f t="shared" si="48"/>
        <v>14.547586304485732</v>
      </c>
      <c r="AV69" s="22"/>
      <c r="AW69" s="22">
        <f t="shared" ref="AW69:BH69" si="49">AW14/AW6</f>
        <v>13.048174258282156</v>
      </c>
      <c r="AX69" s="22">
        <f t="shared" si="49"/>
        <v>10.792416818474779</v>
      </c>
      <c r="AY69" s="22">
        <f t="shared" si="49"/>
        <v>10.457692734757559</v>
      </c>
      <c r="AZ69" s="22">
        <f t="shared" si="49"/>
        <v>43.045050169138825</v>
      </c>
      <c r="BA69" s="22">
        <f t="shared" si="49"/>
        <v>25.235279496698709</v>
      </c>
      <c r="BB69" s="22">
        <f t="shared" si="49"/>
        <v>14.045999149895511</v>
      </c>
      <c r="BC69" s="22">
        <f t="shared" si="49"/>
        <v>11.103574046712566</v>
      </c>
      <c r="BD69" s="22">
        <f t="shared" si="49"/>
        <v>8.3377968339050845</v>
      </c>
      <c r="BE69" s="22">
        <f t="shared" si="49"/>
        <v>28.168487358537977</v>
      </c>
      <c r="BF69" s="22">
        <f t="shared" si="49"/>
        <v>22.155890338074219</v>
      </c>
      <c r="BG69" s="22">
        <f t="shared" si="49"/>
        <v>15.425141092830414</v>
      </c>
      <c r="BH69" s="22">
        <f t="shared" si="49"/>
        <v>15.309052721239954</v>
      </c>
      <c r="BI69" s="22"/>
      <c r="BJ69" s="22">
        <f t="shared" ref="BJ69:BO69" si="50">BJ14/BJ6</f>
        <v>12.799691284425489</v>
      </c>
      <c r="BK69" s="22">
        <f t="shared" si="50"/>
        <v>11.31075994425866</v>
      </c>
      <c r="BL69" s="22">
        <f t="shared" si="50"/>
        <v>10.335871010714786</v>
      </c>
      <c r="BM69" s="22">
        <f t="shared" si="50"/>
        <v>37.481445001640282</v>
      </c>
      <c r="BN69" s="22">
        <f t="shared" si="50"/>
        <v>25.145677621820536</v>
      </c>
      <c r="BO69" s="22">
        <f t="shared" si="50"/>
        <v>14.556737631483577</v>
      </c>
      <c r="BP69" s="22">
        <f t="shared" ref="BP69:CC69" si="51">BP14/BP6</f>
        <v>11.568633642121542</v>
      </c>
      <c r="BQ69" s="22">
        <f t="shared" si="51"/>
        <v>44.256745510972877</v>
      </c>
      <c r="BR69" s="22">
        <f t="shared" si="51"/>
        <v>29.551136454868445</v>
      </c>
      <c r="BS69" s="22">
        <f t="shared" si="51"/>
        <v>23.347625159947732</v>
      </c>
      <c r="BT69" s="22">
        <f t="shared" si="51"/>
        <v>15.032864733532044</v>
      </c>
      <c r="BU69" s="22">
        <f t="shared" si="51"/>
        <v>16.00320237579577</v>
      </c>
      <c r="BV69" s="22">
        <f t="shared" si="51"/>
        <v>15.650745283507863</v>
      </c>
      <c r="BW69" s="22">
        <f t="shared" si="51"/>
        <v>13.58975526496936</v>
      </c>
      <c r="BX69" s="22">
        <f t="shared" si="51"/>
        <v>14.452540881022014</v>
      </c>
      <c r="BY69" s="22">
        <f t="shared" si="51"/>
        <v>10.146781428526058</v>
      </c>
      <c r="BZ69" s="22">
        <f t="shared" si="51"/>
        <v>41.064473466715739</v>
      </c>
      <c r="CA69" s="22">
        <f t="shared" si="51"/>
        <v>24.156559094396115</v>
      </c>
      <c r="CB69" s="22">
        <f t="shared" si="51"/>
        <v>14.937121951959337</v>
      </c>
      <c r="CC69" s="22">
        <f t="shared" si="51"/>
        <v>18.408846944960601</v>
      </c>
    </row>
    <row r="70" spans="1:81" x14ac:dyDescent="0.3">
      <c r="A70" s="2">
        <v>39</v>
      </c>
      <c r="B70" s="20" t="s">
        <v>43</v>
      </c>
      <c r="C70" s="22">
        <f t="shared" ref="C70:H70" si="52">C13/C6</f>
        <v>8.4021773869489511</v>
      </c>
      <c r="D70" s="22">
        <f t="shared" si="52"/>
        <v>148.97743186225676</v>
      </c>
      <c r="E70" s="22">
        <f t="shared" si="52"/>
        <v>62.801428714802746</v>
      </c>
      <c r="F70" s="22">
        <f t="shared" si="52"/>
        <v>45.043489385983946</v>
      </c>
      <c r="G70" s="22">
        <f t="shared" si="52"/>
        <v>0</v>
      </c>
      <c r="H70" s="22">
        <f t="shared" si="52"/>
        <v>38.283757538660211</v>
      </c>
      <c r="I70" s="22"/>
      <c r="J70" s="22" t="e">
        <f t="shared" ref="J70:U70" si="53">J13/J6</f>
        <v>#DIV/0!</v>
      </c>
      <c r="K70" s="408">
        <f t="shared" si="53"/>
        <v>16.560526512434681</v>
      </c>
      <c r="L70" s="22">
        <f t="shared" si="53"/>
        <v>27.360094518917347</v>
      </c>
      <c r="M70" s="22">
        <f t="shared" si="53"/>
        <v>62.569394898824328</v>
      </c>
      <c r="N70" s="22">
        <f t="shared" si="53"/>
        <v>39.898324518220406</v>
      </c>
      <c r="O70" s="22">
        <f t="shared" si="53"/>
        <v>22.83910098567684</v>
      </c>
      <c r="P70" s="22">
        <f t="shared" si="53"/>
        <v>21.672010465345554</v>
      </c>
      <c r="Q70" s="22">
        <f t="shared" si="53"/>
        <v>193.94094751114739</v>
      </c>
      <c r="R70" s="22">
        <f t="shared" si="53"/>
        <v>101.86850367380622</v>
      </c>
      <c r="S70" s="22">
        <f t="shared" si="53"/>
        <v>72.455957301258437</v>
      </c>
      <c r="T70" s="22">
        <f t="shared" si="53"/>
        <v>65.110530643101399</v>
      </c>
      <c r="U70" s="22">
        <f t="shared" si="53"/>
        <v>58.884399622736787</v>
      </c>
      <c r="V70" s="22"/>
      <c r="W70" s="22">
        <f t="shared" ref="W70:AU70" si="54">W13/W6</f>
        <v>356.55536110555778</v>
      </c>
      <c r="X70" s="22">
        <f t="shared" si="54"/>
        <v>24.273758191954215</v>
      </c>
      <c r="Y70" s="22">
        <f t="shared" si="54"/>
        <v>41.396871092779051</v>
      </c>
      <c r="Z70" s="22">
        <f t="shared" si="54"/>
        <v>138.04363340060814</v>
      </c>
      <c r="AA70" s="22">
        <f t="shared" si="54"/>
        <v>72.364651426401807</v>
      </c>
      <c r="AB70" s="22">
        <f t="shared" si="54"/>
        <v>40.793198845291101</v>
      </c>
      <c r="AC70" s="22">
        <f t="shared" si="54"/>
        <v>22.525031238125088</v>
      </c>
      <c r="AD70" s="22">
        <f t="shared" si="54"/>
        <v>276.87776141384387</v>
      </c>
      <c r="AE70" s="22">
        <f t="shared" si="54"/>
        <v>93.299621092820445</v>
      </c>
      <c r="AF70" s="22">
        <f t="shared" si="54"/>
        <v>69.074591808023357</v>
      </c>
      <c r="AG70" s="22">
        <f t="shared" si="54"/>
        <v>66.154871701033954</v>
      </c>
      <c r="AH70" s="22">
        <f t="shared" si="54"/>
        <v>58.236574126178901</v>
      </c>
      <c r="AI70" s="22">
        <f t="shared" si="54"/>
        <v>0</v>
      </c>
      <c r="AJ70" s="22">
        <f t="shared" si="54"/>
        <v>36.970986633468748</v>
      </c>
      <c r="AK70" s="22">
        <f t="shared" si="54"/>
        <v>21.293389402262001</v>
      </c>
      <c r="AL70" s="22">
        <f t="shared" si="54"/>
        <v>60.665558692252837</v>
      </c>
      <c r="AM70" s="22">
        <f t="shared" si="54"/>
        <v>114.81373628608438</v>
      </c>
      <c r="AN70" s="22">
        <f t="shared" si="54"/>
        <v>71.58842687287806</v>
      </c>
      <c r="AO70" s="22">
        <f t="shared" si="54"/>
        <v>35.968770312150717</v>
      </c>
      <c r="AP70" s="22">
        <f t="shared" si="54"/>
        <v>15.526592719964246</v>
      </c>
      <c r="AQ70" s="22">
        <f t="shared" si="54"/>
        <v>296.96533247920445</v>
      </c>
      <c r="AR70" s="22">
        <f t="shared" si="54"/>
        <v>84.00635615763845</v>
      </c>
      <c r="AS70" s="22">
        <f t="shared" si="54"/>
        <v>71.745589758391773</v>
      </c>
      <c r="AT70" s="22">
        <f t="shared" si="54"/>
        <v>51.8847648853693</v>
      </c>
      <c r="AU70" s="22">
        <f t="shared" si="54"/>
        <v>48.897625730544959</v>
      </c>
      <c r="AV70" s="22"/>
      <c r="AW70" s="22">
        <f t="shared" ref="AW70:BH70" si="55">AW13/AW6</f>
        <v>27.851744658766542</v>
      </c>
      <c r="AX70" s="22">
        <f t="shared" si="55"/>
        <v>17.479000218910166</v>
      </c>
      <c r="AY70" s="22">
        <f t="shared" si="55"/>
        <v>33.379404966210075</v>
      </c>
      <c r="AZ70" s="22">
        <f t="shared" si="55"/>
        <v>107.82257723259512</v>
      </c>
      <c r="BA70" s="22">
        <f t="shared" si="55"/>
        <v>59.697692839937005</v>
      </c>
      <c r="BB70" s="22">
        <f t="shared" si="55"/>
        <v>0</v>
      </c>
      <c r="BC70" s="22">
        <f t="shared" si="55"/>
        <v>14.877027850197839</v>
      </c>
      <c r="BD70" s="22">
        <f t="shared" si="55"/>
        <v>186.76664907947386</v>
      </c>
      <c r="BE70" s="22">
        <f t="shared" si="55"/>
        <v>80.011022773787005</v>
      </c>
      <c r="BF70" s="22">
        <f t="shared" si="55"/>
        <v>69.262617343898</v>
      </c>
      <c r="BG70" s="22">
        <f t="shared" si="55"/>
        <v>47.712534934112533</v>
      </c>
      <c r="BH70" s="22">
        <f t="shared" si="55"/>
        <v>55.652880745385104</v>
      </c>
      <c r="BI70" s="22"/>
      <c r="BJ70" s="22">
        <f t="shared" ref="BJ70:BO70" si="56">BJ13/BJ6</f>
        <v>25.380796166225366</v>
      </c>
      <c r="BK70" s="22">
        <f t="shared" si="56"/>
        <v>18.063067246135997</v>
      </c>
      <c r="BL70" s="22">
        <f t="shared" si="56"/>
        <v>31.880712482331838</v>
      </c>
      <c r="BM70" s="22">
        <f t="shared" si="56"/>
        <v>74.274059620914542</v>
      </c>
      <c r="BN70" s="22">
        <f t="shared" si="56"/>
        <v>59.879546614228971</v>
      </c>
      <c r="BO70" s="22">
        <f t="shared" si="56"/>
        <v>31.044037473121953</v>
      </c>
      <c r="BP70" s="22">
        <f t="shared" ref="BP70:CC70" si="57">BP13/BP6</f>
        <v>0</v>
      </c>
      <c r="BQ70" s="22">
        <f t="shared" si="57"/>
        <v>0</v>
      </c>
      <c r="BR70" s="22">
        <f t="shared" si="57"/>
        <v>0</v>
      </c>
      <c r="BS70" s="22">
        <f t="shared" si="57"/>
        <v>0</v>
      </c>
      <c r="BT70" s="22">
        <f t="shared" si="57"/>
        <v>0</v>
      </c>
      <c r="BU70" s="22">
        <f t="shared" si="57"/>
        <v>0</v>
      </c>
      <c r="BV70" s="22">
        <f t="shared" si="57"/>
        <v>0</v>
      </c>
      <c r="BW70" s="22">
        <f t="shared" si="57"/>
        <v>0</v>
      </c>
      <c r="BX70" s="22">
        <f t="shared" si="57"/>
        <v>0</v>
      </c>
      <c r="BY70" s="22">
        <f t="shared" si="57"/>
        <v>0</v>
      </c>
      <c r="BZ70" s="22">
        <f t="shared" si="57"/>
        <v>0</v>
      </c>
      <c r="CA70" s="22">
        <f t="shared" si="57"/>
        <v>0</v>
      </c>
      <c r="CB70" s="22">
        <f t="shared" si="57"/>
        <v>0</v>
      </c>
      <c r="CC70" s="22">
        <f t="shared" si="57"/>
        <v>44.6617317686338</v>
      </c>
    </row>
    <row r="71" spans="1:81" x14ac:dyDescent="0.3">
      <c r="A71" s="2">
        <v>40</v>
      </c>
      <c r="B71" s="20" t="s">
        <v>49</v>
      </c>
      <c r="C71" s="22">
        <f t="shared" ref="C71:H71" si="58">C30/C18</f>
        <v>34.326683291770607</v>
      </c>
      <c r="D71" s="22">
        <f t="shared" si="58"/>
        <v>51.796992481203006</v>
      </c>
      <c r="E71" s="22" t="e">
        <f t="shared" si="58"/>
        <v>#VALUE!</v>
      </c>
      <c r="F71" s="22">
        <f t="shared" si="58"/>
        <v>12.984962406015038</v>
      </c>
      <c r="G71" s="22" t="e">
        <f t="shared" si="58"/>
        <v>#DIV/0!</v>
      </c>
      <c r="H71" s="22">
        <f t="shared" si="58"/>
        <v>10.805111821086262</v>
      </c>
      <c r="I71" s="22"/>
      <c r="J71" s="22" t="e">
        <f t="shared" ref="J71:U71" si="59">J30/J18</f>
        <v>#DIV/0!</v>
      </c>
      <c r="K71" s="408">
        <f t="shared" si="59"/>
        <v>39.913821138211382</v>
      </c>
      <c r="L71" s="22">
        <f t="shared" si="59"/>
        <v>41.427586206896549</v>
      </c>
      <c r="M71" s="22">
        <f t="shared" si="59"/>
        <v>55.557480207547172</v>
      </c>
      <c r="N71" s="22" t="e">
        <f t="shared" si="59"/>
        <v>#VALUE!</v>
      </c>
      <c r="O71" s="22" t="e">
        <f t="shared" si="59"/>
        <v>#VALUE!</v>
      </c>
      <c r="P71" s="22">
        <f t="shared" si="59"/>
        <v>19.21805035971223</v>
      </c>
      <c r="Q71" s="22">
        <f t="shared" si="59"/>
        <v>48.962406015037594</v>
      </c>
      <c r="R71" s="22">
        <f t="shared" si="59"/>
        <v>12.166666666666666</v>
      </c>
      <c r="S71" s="22">
        <f t="shared" si="59"/>
        <v>11.116788321167883</v>
      </c>
      <c r="T71" s="22">
        <f t="shared" si="59"/>
        <v>36.130434782608695</v>
      </c>
      <c r="U71" s="22">
        <f t="shared" si="59"/>
        <v>29.09009009009009</v>
      </c>
      <c r="V71" s="22"/>
      <c r="W71" s="22">
        <f t="shared" ref="W71:AU71" si="60">W30/W18</f>
        <v>27.651139742319128</v>
      </c>
      <c r="X71" s="22">
        <f t="shared" si="60"/>
        <v>35.4</v>
      </c>
      <c r="Y71" s="22">
        <f t="shared" si="60"/>
        <v>41.262806236080181</v>
      </c>
      <c r="Z71" s="22">
        <f t="shared" si="60"/>
        <v>54.517201886792449</v>
      </c>
      <c r="AA71" s="22" t="e">
        <f t="shared" si="60"/>
        <v>#DIV/0!</v>
      </c>
      <c r="AB71" s="22" t="e">
        <f t="shared" si="60"/>
        <v>#DIV/0!</v>
      </c>
      <c r="AC71" s="22">
        <f t="shared" si="60"/>
        <v>14.138200647249191</v>
      </c>
      <c r="AD71" s="22">
        <f t="shared" si="60"/>
        <v>50.714285714285715</v>
      </c>
      <c r="AE71" s="22">
        <f t="shared" si="60"/>
        <v>13.59</v>
      </c>
      <c r="AF71" s="22">
        <f t="shared" si="60"/>
        <v>13.044982698961938</v>
      </c>
      <c r="AG71" s="22">
        <f t="shared" si="60"/>
        <v>39.79710144927536</v>
      </c>
      <c r="AH71" s="22">
        <f t="shared" si="60"/>
        <v>43.146788990825691</v>
      </c>
      <c r="AI71" s="22">
        <f t="shared" si="60"/>
        <v>0</v>
      </c>
      <c r="AJ71" s="22">
        <f t="shared" si="60"/>
        <v>16.2748643761302</v>
      </c>
      <c r="AK71" s="22">
        <f t="shared" si="60"/>
        <v>32.152278177458037</v>
      </c>
      <c r="AL71" s="22">
        <f t="shared" si="60"/>
        <v>34.936915887850468</v>
      </c>
      <c r="AM71" s="22">
        <f t="shared" si="60"/>
        <v>50.378863701215806</v>
      </c>
      <c r="AN71" s="22" t="e">
        <f t="shared" si="60"/>
        <v>#DIV/0!</v>
      </c>
      <c r="AO71" s="22" t="e">
        <f t="shared" si="60"/>
        <v>#DIV/0!</v>
      </c>
      <c r="AP71" s="22">
        <f t="shared" si="60"/>
        <v>40.443544025157237</v>
      </c>
      <c r="AQ71" s="22">
        <f t="shared" si="60"/>
        <v>50.676691729323309</v>
      </c>
      <c r="AR71" s="22">
        <f t="shared" si="60"/>
        <v>13.272881355932203</v>
      </c>
      <c r="AS71" s="22">
        <f t="shared" si="60"/>
        <v>10.772036474164134</v>
      </c>
      <c r="AT71" s="22">
        <f t="shared" si="60"/>
        <v>37.981949458483754</v>
      </c>
      <c r="AU71" s="22">
        <f t="shared" si="60"/>
        <v>44.334375000000001</v>
      </c>
      <c r="AV71" s="22"/>
      <c r="AW71" s="22">
        <f t="shared" ref="AW71:BH71" si="61">AW30/AW18</f>
        <v>19.555143651529193</v>
      </c>
      <c r="AX71" s="22">
        <f t="shared" si="61"/>
        <v>37.402160864345738</v>
      </c>
      <c r="AY71" s="22">
        <f t="shared" si="61"/>
        <v>34.938356164383563</v>
      </c>
      <c r="AZ71" s="22">
        <f t="shared" si="61"/>
        <v>51.562471855384622</v>
      </c>
      <c r="BA71" s="22" t="e">
        <f t="shared" si="61"/>
        <v>#DIV/0!</v>
      </c>
      <c r="BB71" s="22" t="e">
        <f t="shared" si="61"/>
        <v>#DIV/0!</v>
      </c>
      <c r="BC71" s="22">
        <f t="shared" si="61"/>
        <v>37.340574088440654</v>
      </c>
      <c r="BD71" s="22">
        <f t="shared" si="61"/>
        <v>38.458823529411767</v>
      </c>
      <c r="BE71" s="22">
        <f t="shared" si="61"/>
        <v>13.913559322033898</v>
      </c>
      <c r="BF71" s="22">
        <f t="shared" si="61"/>
        <v>6.5789473684210522</v>
      </c>
      <c r="BG71" s="22">
        <f t="shared" si="61"/>
        <v>38.245551601423486</v>
      </c>
      <c r="BH71" s="22">
        <f t="shared" si="61"/>
        <v>36.444099378881987</v>
      </c>
      <c r="BI71" s="22"/>
      <c r="BJ71" s="22">
        <f t="shared" ref="BJ71:BO71" si="62">BJ30/BJ18</f>
        <v>31.458699472759228</v>
      </c>
      <c r="BK71" s="22">
        <f t="shared" si="62"/>
        <v>34.232613908872899</v>
      </c>
      <c r="BL71" s="22">
        <f t="shared" si="62"/>
        <v>35.591324200913242</v>
      </c>
      <c r="BM71" s="22">
        <f t="shared" si="62"/>
        <v>49.992610008797655</v>
      </c>
      <c r="BN71" s="1" t="e">
        <f t="shared" si="62"/>
        <v>#DIV/0!</v>
      </c>
      <c r="BO71" s="22" t="e">
        <f t="shared" si="62"/>
        <v>#DIV/0!</v>
      </c>
      <c r="BP71" s="22"/>
      <c r="BQ71" s="22"/>
      <c r="BR71" s="22"/>
      <c r="BS71" s="22"/>
      <c r="BT71" s="22"/>
      <c r="BU71" s="22"/>
      <c r="BV71" s="22"/>
      <c r="BW71" s="22"/>
      <c r="BX71" s="22"/>
      <c r="BY71" s="22"/>
      <c r="BZ71" s="22"/>
      <c r="CA71" s="22"/>
      <c r="CB71" s="22"/>
      <c r="CC71" s="22"/>
    </row>
    <row r="72" spans="1:81" x14ac:dyDescent="0.3">
      <c r="A72" s="2">
        <v>41</v>
      </c>
      <c r="B72" s="20" t="s">
        <v>50</v>
      </c>
      <c r="C72" s="22">
        <f t="shared" ref="C72:H72" si="63">(C30/C6)*100000</f>
        <v>22.978375644714045</v>
      </c>
      <c r="D72" s="22">
        <f t="shared" si="63"/>
        <v>446.21979482568992</v>
      </c>
      <c r="E72" s="22">
        <f t="shared" si="63"/>
        <v>82.564054182693752</v>
      </c>
      <c r="F72" s="22">
        <f t="shared" si="63"/>
        <v>33.888088072138657</v>
      </c>
      <c r="G72" s="22">
        <f t="shared" si="63"/>
        <v>0</v>
      </c>
      <c r="H72" s="22">
        <f t="shared" si="63"/>
        <v>26.787579877600876</v>
      </c>
      <c r="I72" s="22"/>
      <c r="J72" s="22" t="e">
        <f t="shared" ref="J72:U72" si="64">(J30/J6)*100000</f>
        <v>#DIV/0!</v>
      </c>
      <c r="K72" s="408">
        <f t="shared" si="64"/>
        <v>60.179756223322769</v>
      </c>
      <c r="L72" s="22">
        <f t="shared" si="64"/>
        <v>94.928742338234883</v>
      </c>
      <c r="M72" s="22">
        <f t="shared" si="64"/>
        <v>292.38790122022488</v>
      </c>
      <c r="N72" s="22">
        <f t="shared" si="64"/>
        <v>165.73720435918469</v>
      </c>
      <c r="O72" s="22">
        <f t="shared" si="64"/>
        <v>0</v>
      </c>
      <c r="P72" s="22">
        <f t="shared" si="64"/>
        <v>20.438423490200556</v>
      </c>
      <c r="Q72" s="22">
        <f t="shared" si="64"/>
        <v>549.1058479098225</v>
      </c>
      <c r="R72" s="22">
        <f t="shared" si="64"/>
        <v>95.977000579952346</v>
      </c>
      <c r="S72" s="22">
        <f t="shared" si="64"/>
        <v>43.257711865863037</v>
      </c>
      <c r="T72" s="22">
        <f t="shared" si="64"/>
        <v>86.413062410647143</v>
      </c>
      <c r="U72" s="22">
        <f t="shared" si="64"/>
        <v>109.68033396625691</v>
      </c>
      <c r="V72" s="22"/>
      <c r="W72" s="22">
        <f t="shared" ref="W72:AU72" si="65">(W30/W6)*100000</f>
        <v>697.22111155537777</v>
      </c>
      <c r="X72" s="22">
        <f t="shared" si="65"/>
        <v>75.65773595398025</v>
      </c>
      <c r="Y72" s="22">
        <f t="shared" si="65"/>
        <v>128.59882532014873</v>
      </c>
      <c r="Z72" s="22">
        <f t="shared" si="65"/>
        <v>418.68179669898541</v>
      </c>
      <c r="AA72" s="22">
        <f t="shared" si="65"/>
        <v>234.71537423448669</v>
      </c>
      <c r="AB72" s="22">
        <f t="shared" si="65"/>
        <v>97.962169716978622</v>
      </c>
      <c r="AC72" s="22">
        <f t="shared" si="65"/>
        <v>14.522811591211584</v>
      </c>
      <c r="AD72" s="22">
        <f t="shared" si="65"/>
        <v>794.69808541973498</v>
      </c>
      <c r="AE72" s="22">
        <f t="shared" si="65"/>
        <v>96.874208827956323</v>
      </c>
      <c r="AF72" s="22">
        <f t="shared" si="65"/>
        <v>55.91823300756883</v>
      </c>
      <c r="AG72" s="22">
        <f t="shared" si="65"/>
        <v>98.717783257305797</v>
      </c>
      <c r="AH72" s="22">
        <f t="shared" si="65"/>
        <v>154.61709392848732</v>
      </c>
      <c r="AI72" s="22">
        <f t="shared" si="65"/>
        <v>0</v>
      </c>
      <c r="AJ72" s="22">
        <f t="shared" si="65"/>
        <v>39.313327217926876</v>
      </c>
      <c r="AK72" s="22">
        <f t="shared" si="65"/>
        <v>80.45436810662234</v>
      </c>
      <c r="AL72" s="22">
        <f t="shared" si="65"/>
        <v>101.02364728944427</v>
      </c>
      <c r="AM72" s="22">
        <f t="shared" si="65"/>
        <v>413.58891697028361</v>
      </c>
      <c r="AN72" s="22">
        <f t="shared" si="65"/>
        <v>224.9958256804141</v>
      </c>
      <c r="AO72" s="22">
        <f t="shared" si="65"/>
        <v>103.85630163310449</v>
      </c>
      <c r="AP72" s="22">
        <f t="shared" si="65"/>
        <v>32.318537992104147</v>
      </c>
      <c r="AQ72" s="22">
        <f t="shared" si="65"/>
        <v>714.83797889637071</v>
      </c>
      <c r="AR72" s="22">
        <f t="shared" si="65"/>
        <v>80.198292864994144</v>
      </c>
      <c r="AS72" s="22">
        <f t="shared" si="65"/>
        <v>48.138275294157602</v>
      </c>
      <c r="AT72" s="22">
        <f t="shared" si="65"/>
        <v>74.540825750245517</v>
      </c>
      <c r="AU72" s="22">
        <f t="shared" si="65"/>
        <v>126.41823986994434</v>
      </c>
      <c r="AV72" s="22"/>
      <c r="AW72" s="22">
        <f t="shared" ref="AW72:BH72" si="66">(AW30/AW6)*100000</f>
        <v>36.502032696133554</v>
      </c>
      <c r="AX72" s="22">
        <f t="shared" si="66"/>
        <v>75.680926725530469</v>
      </c>
      <c r="AY72" s="22">
        <f t="shared" si="66"/>
        <v>83.457695461598547</v>
      </c>
      <c r="AZ72" s="22">
        <f t="shared" si="66"/>
        <v>347.60793963025935</v>
      </c>
      <c r="BA72" s="22">
        <f t="shared" si="66"/>
        <v>212.9504574830772</v>
      </c>
      <c r="BB72" s="22">
        <f t="shared" si="66"/>
        <v>89.979284955811707</v>
      </c>
      <c r="BC72" s="22">
        <f t="shared" si="66"/>
        <v>26.728884712259031</v>
      </c>
      <c r="BD72" s="22">
        <f t="shared" si="66"/>
        <v>436.10012560057146</v>
      </c>
      <c r="BE72" s="22">
        <f t="shared" si="66"/>
        <v>76.593433118463054</v>
      </c>
      <c r="BF72" s="22">
        <f t="shared" si="66"/>
        <v>39.604502647221537</v>
      </c>
      <c r="BG72" s="22">
        <f t="shared" si="66"/>
        <v>67.777570499205424</v>
      </c>
      <c r="BH72" s="22">
        <f t="shared" si="66"/>
        <v>97.34742170770356</v>
      </c>
      <c r="BI72" s="22"/>
      <c r="BJ72" s="22">
        <f t="shared" ref="BJ72:BO72" si="67">(BJ30/BJ6)*100000</f>
        <v>56.761427597469513</v>
      </c>
      <c r="BK72" s="22">
        <f t="shared" si="67"/>
        <v>60.614390862738311</v>
      </c>
      <c r="BL72" s="22">
        <f t="shared" si="67"/>
        <v>74.723003852292237</v>
      </c>
      <c r="BM72" s="22">
        <f t="shared" si="67"/>
        <v>267.71385235306582</v>
      </c>
      <c r="BN72" s="22">
        <f t="shared" si="67"/>
        <v>209.58342830715023</v>
      </c>
      <c r="BO72" s="22">
        <f t="shared" si="67"/>
        <v>76.964489090339853</v>
      </c>
      <c r="BP72" s="22">
        <f t="shared" ref="BP72:CC72" si="68">(BP30/BP6)*100000</f>
        <v>0</v>
      </c>
      <c r="BQ72" s="22">
        <f t="shared" si="68"/>
        <v>0</v>
      </c>
      <c r="BR72" s="22">
        <f t="shared" si="68"/>
        <v>0</v>
      </c>
      <c r="BS72" s="22">
        <f t="shared" si="68"/>
        <v>0</v>
      </c>
      <c r="BT72" s="22">
        <f t="shared" si="68"/>
        <v>0</v>
      </c>
      <c r="BU72" s="22">
        <f t="shared" si="68"/>
        <v>0</v>
      </c>
      <c r="BV72" s="22">
        <f t="shared" si="68"/>
        <v>0</v>
      </c>
      <c r="BW72" s="22">
        <f t="shared" si="68"/>
        <v>0</v>
      </c>
      <c r="BX72" s="22">
        <f t="shared" si="68"/>
        <v>0</v>
      </c>
      <c r="BY72" s="22">
        <f t="shared" si="68"/>
        <v>0</v>
      </c>
      <c r="BZ72" s="22">
        <f t="shared" si="68"/>
        <v>0</v>
      </c>
      <c r="CA72" s="22">
        <f t="shared" si="68"/>
        <v>0</v>
      </c>
      <c r="CB72" s="22">
        <f t="shared" si="68"/>
        <v>0</v>
      </c>
      <c r="CC72" s="22">
        <f t="shared" si="68"/>
        <v>0</v>
      </c>
    </row>
    <row r="73" spans="1:81" x14ac:dyDescent="0.3">
      <c r="A73" s="2">
        <v>42</v>
      </c>
      <c r="B73" s="20" t="s">
        <v>52</v>
      </c>
      <c r="C73" s="22">
        <f t="shared" ref="C73:H73" si="69">(C30/C7)*100000</f>
        <v>2.8401397999823574</v>
      </c>
      <c r="D73" s="22">
        <f t="shared" si="69"/>
        <v>17.948494620493033</v>
      </c>
      <c r="E73" s="22">
        <f t="shared" si="69"/>
        <v>5.134767021491232</v>
      </c>
      <c r="F73" s="22">
        <f t="shared" si="69"/>
        <v>5.0084584801474588</v>
      </c>
      <c r="G73" s="22">
        <f t="shared" si="69"/>
        <v>0</v>
      </c>
      <c r="H73" s="22">
        <f t="shared" si="69"/>
        <v>2.3374851551135145</v>
      </c>
      <c r="I73" s="22"/>
      <c r="J73" s="22" t="e">
        <f t="shared" ref="J73:U73" si="70">(J30/J7)*100000</f>
        <v>#DIV/0!</v>
      </c>
      <c r="K73" s="408">
        <f t="shared" si="70"/>
        <v>5.7314053546021686</v>
      </c>
      <c r="L73" s="22">
        <f t="shared" si="70"/>
        <v>10.166783714530931</v>
      </c>
      <c r="M73" s="22">
        <f t="shared" si="70"/>
        <v>32.487544580024981</v>
      </c>
      <c r="N73" s="22">
        <f t="shared" si="70"/>
        <v>16.573720435918467</v>
      </c>
      <c r="O73" s="22">
        <f t="shared" si="70"/>
        <v>0</v>
      </c>
      <c r="P73" s="22">
        <f t="shared" si="70"/>
        <v>2.8443392318461789</v>
      </c>
      <c r="Q73" s="22">
        <f t="shared" si="70"/>
        <v>22.882022337871543</v>
      </c>
      <c r="R73" s="22">
        <f t="shared" si="70"/>
        <v>8.8260478299982292</v>
      </c>
      <c r="S73" s="22">
        <f t="shared" si="70"/>
        <v>5.3002076964514329</v>
      </c>
      <c r="T73" s="22">
        <f t="shared" si="70"/>
        <v>8.6267335562524448</v>
      </c>
      <c r="U73" s="22">
        <f t="shared" si="70"/>
        <v>7.7787470898054547</v>
      </c>
      <c r="V73" s="22"/>
      <c r="W73" s="22">
        <f t="shared" ref="W73:AU73" si="71">(W30/W7)*100000</f>
        <v>9.285453439593045</v>
      </c>
      <c r="X73" s="22">
        <f t="shared" si="71"/>
        <v>7.2054986622838335</v>
      </c>
      <c r="Y73" s="22">
        <f t="shared" si="71"/>
        <v>13.676244804206215</v>
      </c>
      <c r="Z73" s="22">
        <f t="shared" si="71"/>
        <v>46.520199633220606</v>
      </c>
      <c r="AA73" s="22">
        <f t="shared" si="71"/>
        <v>23.47153742344867</v>
      </c>
      <c r="AB73" s="22">
        <f t="shared" si="71"/>
        <v>7.7813129576042677</v>
      </c>
      <c r="AC73" s="22">
        <f t="shared" si="71"/>
        <v>1.9516525295100142</v>
      </c>
      <c r="AD73" s="22">
        <f t="shared" si="71"/>
        <v>30.375527079568478</v>
      </c>
      <c r="AE73" s="22">
        <f t="shared" si="71"/>
        <v>8.9664819839690661</v>
      </c>
      <c r="AF73" s="22">
        <f t="shared" si="71"/>
        <v>6.83334122399968</v>
      </c>
      <c r="AG73" s="22">
        <f t="shared" si="71"/>
        <v>9.8928001976254372</v>
      </c>
      <c r="AH73" s="22">
        <f t="shared" si="71"/>
        <v>11.254430788995744</v>
      </c>
      <c r="AI73" s="22">
        <f t="shared" si="71"/>
        <v>0</v>
      </c>
      <c r="AJ73" s="22">
        <f t="shared" si="71"/>
        <v>5.1697581269782491</v>
      </c>
      <c r="AK73" s="22">
        <f t="shared" si="71"/>
        <v>7.6623207720592692</v>
      </c>
      <c r="AL73" s="22">
        <f t="shared" si="71"/>
        <v>10.743767693258469</v>
      </c>
      <c r="AM73" s="22">
        <f t="shared" si="71"/>
        <v>45.954324107809292</v>
      </c>
      <c r="AN73" s="22">
        <f t="shared" si="71"/>
        <v>22.499582568041408</v>
      </c>
      <c r="AO73" s="22">
        <f t="shared" si="71"/>
        <v>9.224335262833625</v>
      </c>
      <c r="AP73" s="22">
        <f t="shared" si="71"/>
        <v>6.7778903820816865</v>
      </c>
      <c r="AQ73" s="22">
        <f t="shared" si="71"/>
        <v>25.620648813661326</v>
      </c>
      <c r="AR73" s="22">
        <f t="shared" si="71"/>
        <v>7.4405855561255265</v>
      </c>
      <c r="AS73" s="22">
        <f t="shared" si="71"/>
        <v>5.2931315017286167</v>
      </c>
      <c r="AT73" s="22">
        <f t="shared" si="71"/>
        <v>7.4019449400053574</v>
      </c>
      <c r="AU73" s="22">
        <f t="shared" si="71"/>
        <v>10.17448769478654</v>
      </c>
      <c r="AV73" s="22"/>
      <c r="AW73" s="22">
        <f t="shared" ref="AW73:BH73" si="72">(AW30/AW7)*100000</f>
        <v>4.9809833021458072</v>
      </c>
      <c r="AX73" s="22">
        <f t="shared" si="72"/>
        <v>10.122835685436501</v>
      </c>
      <c r="AY73" s="22">
        <f t="shared" si="72"/>
        <v>8.8472079895693714</v>
      </c>
      <c r="AZ73" s="22">
        <f t="shared" si="72"/>
        <v>38.623104403362149</v>
      </c>
      <c r="BA73" s="22">
        <f t="shared" si="72"/>
        <v>21.295045748307722</v>
      </c>
      <c r="BB73" s="22">
        <f t="shared" si="72"/>
        <v>10.305530525480233</v>
      </c>
      <c r="BC73" s="22">
        <f t="shared" si="72"/>
        <v>5.6783546930780577</v>
      </c>
      <c r="BD73" s="22">
        <f t="shared" si="72"/>
        <v>21.315925523108234</v>
      </c>
      <c r="BE73" s="22">
        <f t="shared" si="72"/>
        <v>7.160263112847848</v>
      </c>
      <c r="BF73" s="22">
        <f t="shared" si="72"/>
        <v>5.024019983082546</v>
      </c>
      <c r="BG73" s="22">
        <f t="shared" si="72"/>
        <v>6.7051333309118242</v>
      </c>
      <c r="BH73" s="22">
        <f t="shared" si="72"/>
        <v>8.5024497887229984</v>
      </c>
      <c r="BI73" s="22"/>
      <c r="BJ73" s="22">
        <f t="shared" ref="BJ73:BO73" si="73">(BJ30/BJ7)*100000</f>
        <v>7.4574480099637501</v>
      </c>
      <c r="BK73" s="22">
        <f t="shared" si="73"/>
        <v>5.7727991297846017</v>
      </c>
      <c r="BL73" s="22">
        <f t="shared" si="73"/>
        <v>8.2161134262618543</v>
      </c>
      <c r="BM73" s="22">
        <f t="shared" si="73"/>
        <v>29.745983594785091</v>
      </c>
      <c r="BN73" s="22">
        <f t="shared" si="73"/>
        <v>20.958342830715026</v>
      </c>
      <c r="BO73" s="22">
        <f t="shared" si="73"/>
        <v>9.5247761710623653</v>
      </c>
      <c r="BP73" s="22">
        <f t="shared" ref="BP73:CC73" si="74">(BP30/BP7)*100000</f>
        <v>0</v>
      </c>
      <c r="BQ73" s="22">
        <f t="shared" si="74"/>
        <v>0</v>
      </c>
      <c r="BR73" s="22">
        <f t="shared" si="74"/>
        <v>0</v>
      </c>
      <c r="BS73" s="22">
        <f t="shared" si="74"/>
        <v>0</v>
      </c>
      <c r="BT73" s="22">
        <f t="shared" si="74"/>
        <v>0</v>
      </c>
      <c r="BU73" s="22">
        <f t="shared" si="74"/>
        <v>0</v>
      </c>
      <c r="BV73" s="22">
        <f t="shared" si="74"/>
        <v>0</v>
      </c>
      <c r="BW73" s="22">
        <f t="shared" si="74"/>
        <v>0</v>
      </c>
      <c r="BX73" s="22">
        <f t="shared" si="74"/>
        <v>0</v>
      </c>
      <c r="BY73" s="22">
        <f t="shared" si="74"/>
        <v>0</v>
      </c>
      <c r="BZ73" s="22">
        <f t="shared" si="74"/>
        <v>0</v>
      </c>
      <c r="CA73" s="22">
        <f t="shared" si="74"/>
        <v>0</v>
      </c>
      <c r="CB73" s="22">
        <f t="shared" si="74"/>
        <v>0</v>
      </c>
      <c r="CC73" s="22">
        <f t="shared" si="74"/>
        <v>0</v>
      </c>
    </row>
    <row r="74" spans="1:81" x14ac:dyDescent="0.3">
      <c r="A74" s="2">
        <v>43</v>
      </c>
      <c r="B74" s="20" t="s">
        <v>75</v>
      </c>
      <c r="C74" s="43">
        <f>(C30*1000)/C4</f>
        <v>0.5704545723186587</v>
      </c>
      <c r="D74" s="43">
        <f t="shared" ref="D74:H74" si="75">(D30*1000)/D4</f>
        <v>1.4199017920154073</v>
      </c>
      <c r="E74" s="43">
        <f t="shared" si="75"/>
        <v>0.4308474786993976</v>
      </c>
      <c r="F74" s="43">
        <f t="shared" si="75"/>
        <v>0.28872481933382976</v>
      </c>
      <c r="G74" s="43">
        <f t="shared" si="75"/>
        <v>0</v>
      </c>
      <c r="H74" s="43">
        <f t="shared" si="75"/>
        <v>0.25559333362404368</v>
      </c>
      <c r="I74" s="43"/>
      <c r="J74" s="43" t="e">
        <f t="shared" ref="J74:U74" si="76">(J30*1000)/J4</f>
        <v>#DIV/0!</v>
      </c>
      <c r="K74" s="409">
        <f t="shared" si="76"/>
        <v>0.90447590645327669</v>
      </c>
      <c r="L74" s="43">
        <f t="shared" si="76"/>
        <v>0.96694648430631525</v>
      </c>
      <c r="M74" s="43">
        <f t="shared" si="76"/>
        <v>0.98151548366666663</v>
      </c>
      <c r="N74" s="43">
        <f t="shared" si="76"/>
        <v>0.9193129409605042</v>
      </c>
      <c r="O74" s="43">
        <f t="shared" si="76"/>
        <v>0</v>
      </c>
      <c r="P74" s="43">
        <f t="shared" si="76"/>
        <v>0.3257895381376279</v>
      </c>
      <c r="Q74" s="43">
        <f t="shared" si="76"/>
        <v>1.4199230555209104</v>
      </c>
      <c r="R74" s="43">
        <f t="shared" si="76"/>
        <v>0.36826650530271665</v>
      </c>
      <c r="S74" s="43">
        <f t="shared" si="76"/>
        <v>0.2602755212068581</v>
      </c>
      <c r="T74" s="43">
        <f t="shared" si="76"/>
        <v>0.51014564166954723</v>
      </c>
      <c r="U74" s="43">
        <f t="shared" si="76"/>
        <v>0.74536747994078922</v>
      </c>
      <c r="V74" s="43"/>
      <c r="W74" s="43">
        <f t="shared" ref="W74:AU74" si="77">(W30*1000)/W4</f>
        <v>0.63755407384027885</v>
      </c>
      <c r="X74" s="43">
        <f t="shared" si="77"/>
        <v>0.76386323780240017</v>
      </c>
      <c r="Y74" s="43">
        <f t="shared" si="77"/>
        <v>0.97947226603158255</v>
      </c>
      <c r="Z74" s="43">
        <f t="shared" si="77"/>
        <v>0.96892277890425715</v>
      </c>
      <c r="AA74" s="43">
        <f t="shared" si="77"/>
        <v>0.92020906006351155</v>
      </c>
      <c r="AB74" s="43">
        <f t="shared" si="77"/>
        <v>0.80925654638750388</v>
      </c>
      <c r="AC74" s="43">
        <f t="shared" si="77"/>
        <v>0.2229659454231005</v>
      </c>
      <c r="AD74" s="43">
        <f t="shared" si="77"/>
        <v>1.4199165985829465</v>
      </c>
      <c r="AE74" s="43">
        <f t="shared" si="77"/>
        <v>0.38901691789443471</v>
      </c>
      <c r="AF74" s="43">
        <f t="shared" si="77"/>
        <v>0.36669763008282308</v>
      </c>
      <c r="AG74" s="43">
        <f t="shared" si="77"/>
        <v>0.56046020599872026</v>
      </c>
      <c r="AH74" s="43">
        <f t="shared" si="77"/>
        <v>1.1126183650400785</v>
      </c>
      <c r="AI74" s="43">
        <f t="shared" si="77"/>
        <v>0</v>
      </c>
      <c r="AJ74" s="43">
        <f t="shared" si="77"/>
        <v>0.45469144953992174</v>
      </c>
      <c r="AK74" s="43">
        <f t="shared" si="77"/>
        <v>0.90699596385611547</v>
      </c>
      <c r="AL74" s="43">
        <f t="shared" si="77"/>
        <v>0.76266679478938371</v>
      </c>
      <c r="AM74" s="43">
        <f t="shared" si="77"/>
        <v>0.92677339471732922</v>
      </c>
      <c r="AN74" s="43">
        <f t="shared" si="77"/>
        <v>1.0201412441385844</v>
      </c>
      <c r="AO74" s="43">
        <f t="shared" si="77"/>
        <v>0.95933087014262641</v>
      </c>
      <c r="AP74" s="43">
        <f t="shared" si="77"/>
        <v>0.65954087179487175</v>
      </c>
      <c r="AQ74" s="43">
        <f t="shared" si="77"/>
        <v>1.4199984662331107</v>
      </c>
      <c r="AR74" s="43">
        <f t="shared" si="77"/>
        <v>0.37061354075449837</v>
      </c>
      <c r="AS74" s="43">
        <f t="shared" si="77"/>
        <v>0.33823542464436368</v>
      </c>
      <c r="AT74" s="43">
        <f t="shared" si="77"/>
        <v>0.53917555491496105</v>
      </c>
      <c r="AU74" s="43">
        <f t="shared" si="77"/>
        <v>1.1312978530937929</v>
      </c>
      <c r="AV74" s="43"/>
      <c r="AW74" s="43">
        <f t="shared" ref="AW74:BH74" si="78">(AW30*1000)/AW4</f>
        <v>0.46255001102776222</v>
      </c>
      <c r="AX74" s="43">
        <f t="shared" si="78"/>
        <v>1.0628977486975528</v>
      </c>
      <c r="AY74" s="43">
        <f t="shared" si="78"/>
        <v>0.80713958024100363</v>
      </c>
      <c r="AZ74" s="43">
        <f t="shared" si="78"/>
        <v>0.97240792643036711</v>
      </c>
      <c r="BA74" s="43">
        <f t="shared" si="78"/>
        <v>1.0599269293735922</v>
      </c>
      <c r="BB74" s="43">
        <f t="shared" si="78"/>
        <v>1.0717751730125247</v>
      </c>
      <c r="BC74" s="43">
        <f t="shared" si="78"/>
        <v>0.61922462633017172</v>
      </c>
      <c r="BD74" s="43">
        <f t="shared" si="78"/>
        <v>1.4198123102808917</v>
      </c>
      <c r="BE74" s="43">
        <f t="shared" si="78"/>
        <v>0.37457589284492054</v>
      </c>
      <c r="BF74" s="43">
        <f t="shared" si="78"/>
        <v>0.33173997045808173</v>
      </c>
      <c r="BG74" s="43">
        <f t="shared" si="78"/>
        <v>0.54816851680554501</v>
      </c>
      <c r="BH74" s="43">
        <f t="shared" si="78"/>
        <v>0.95249466347312428</v>
      </c>
      <c r="BI74" s="43"/>
      <c r="BJ74" s="43">
        <f t="shared" ref="BJ74:BO74" si="79">(BJ30*1000)/BJ4</f>
        <v>0.7724431968360036</v>
      </c>
      <c r="BK74" s="43">
        <f t="shared" si="79"/>
        <v>0.96352108529837888</v>
      </c>
      <c r="BL74" s="43">
        <f t="shared" si="79"/>
        <v>0.81344933513601236</v>
      </c>
      <c r="BM74" s="43">
        <f t="shared" si="79"/>
        <v>1.0138215913951945</v>
      </c>
      <c r="BN74" s="43">
        <f t="shared" si="79"/>
        <v>1.2105825022108916</v>
      </c>
      <c r="BO74" s="43">
        <f t="shared" si="79"/>
        <v>0.99057672316786149</v>
      </c>
      <c r="BP74" s="43">
        <f t="shared" ref="BP74:CC74" si="80">(BP30*1000)/BP4</f>
        <v>0</v>
      </c>
      <c r="BQ74" s="43">
        <f t="shared" si="80"/>
        <v>0</v>
      </c>
      <c r="BR74" s="43">
        <f t="shared" si="80"/>
        <v>0</v>
      </c>
      <c r="BS74" s="43">
        <f t="shared" si="80"/>
        <v>0</v>
      </c>
      <c r="BT74" s="43">
        <f t="shared" si="80"/>
        <v>0</v>
      </c>
      <c r="BU74" s="43">
        <f t="shared" si="80"/>
        <v>0</v>
      </c>
      <c r="BV74" s="43">
        <f t="shared" si="80"/>
        <v>0</v>
      </c>
      <c r="BW74" s="43">
        <f t="shared" si="80"/>
        <v>0</v>
      </c>
      <c r="BX74" s="43">
        <f t="shared" si="80"/>
        <v>0</v>
      </c>
      <c r="BY74" s="43">
        <f t="shared" si="80"/>
        <v>0</v>
      </c>
      <c r="BZ74" s="43">
        <f t="shared" si="80"/>
        <v>0</v>
      </c>
      <c r="CA74" s="43">
        <f t="shared" si="80"/>
        <v>0</v>
      </c>
      <c r="CB74" s="43">
        <f t="shared" si="80"/>
        <v>0</v>
      </c>
      <c r="CC74" s="43">
        <f t="shared" si="80"/>
        <v>0</v>
      </c>
    </row>
    <row r="75" spans="1:81" x14ac:dyDescent="0.3">
      <c r="A75" s="1"/>
      <c r="B75" s="20"/>
      <c r="C75" s="1"/>
      <c r="D75" s="1"/>
      <c r="E75" s="1"/>
      <c r="F75" s="1"/>
      <c r="G75" s="1"/>
      <c r="H75" s="1"/>
      <c r="I75" s="1"/>
      <c r="J75" s="1"/>
      <c r="K75" s="404"/>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372"/>
      <c r="BQ75" s="372"/>
      <c r="BR75" s="372"/>
      <c r="BS75" s="372"/>
      <c r="BT75" s="372"/>
      <c r="BU75" s="372"/>
      <c r="BV75" s="372"/>
      <c r="BW75" s="372"/>
      <c r="BX75" s="372"/>
      <c r="BY75" s="372"/>
      <c r="BZ75" s="372"/>
      <c r="CA75" s="372"/>
      <c r="CB75" s="372"/>
      <c r="CC75" s="373"/>
    </row>
    <row r="76" spans="1:81" x14ac:dyDescent="0.3">
      <c r="A76" s="1"/>
      <c r="B76" s="20"/>
      <c r="C76" s="1"/>
      <c r="D76" s="1"/>
      <c r="E76" s="1"/>
      <c r="F76" s="1"/>
      <c r="G76" s="1"/>
      <c r="H76" s="1"/>
      <c r="I76" s="1"/>
      <c r="J76" s="1"/>
      <c r="K76" s="404"/>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372"/>
      <c r="BQ76" s="372"/>
      <c r="BR76" s="372"/>
      <c r="BS76" s="372"/>
      <c r="BT76" s="372"/>
      <c r="BU76" s="372"/>
      <c r="BV76" s="372"/>
      <c r="BW76" s="372"/>
      <c r="BX76" s="372"/>
      <c r="BY76" s="372"/>
      <c r="BZ76" s="372"/>
      <c r="CA76" s="372"/>
      <c r="CB76" s="372"/>
      <c r="CC76" s="373"/>
    </row>
    <row r="77" spans="1:81" x14ac:dyDescent="0.3">
      <c r="A77" s="1"/>
      <c r="B77" s="20"/>
      <c r="C77" s="1"/>
      <c r="D77" s="1"/>
      <c r="E77" s="1"/>
      <c r="F77" s="1"/>
      <c r="G77" s="1"/>
      <c r="H77" s="1"/>
      <c r="I77" s="1"/>
      <c r="J77" s="1"/>
      <c r="K77" s="404"/>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row>
    <row r="78" spans="1:81" x14ac:dyDescent="0.3">
      <c r="A78" s="1"/>
      <c r="B78" s="20"/>
      <c r="C78" s="1"/>
      <c r="D78" s="1"/>
      <c r="E78" s="1"/>
      <c r="F78" s="1"/>
      <c r="G78" s="1"/>
      <c r="H78" s="1"/>
      <c r="I78" s="1"/>
      <c r="J78" s="1"/>
      <c r="K78" s="404"/>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row>
  </sheetData>
  <mergeCells count="8">
    <mergeCell ref="BP2:CB2"/>
    <mergeCell ref="BC2:BO2"/>
    <mergeCell ref="A2:A3"/>
    <mergeCell ref="B2:B3"/>
    <mergeCell ref="C2:O2"/>
    <mergeCell ref="P2:AB2"/>
    <mergeCell ref="AC2:AO2"/>
    <mergeCell ref="AP2:BB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0716-0AB1-4DD4-987F-913A81B10DCA}">
  <sheetPr>
    <tabColor theme="7" tint="-0.249977111117893"/>
  </sheetPr>
  <dimension ref="A2:Z40"/>
  <sheetViews>
    <sheetView workbookViewId="0">
      <pane xSplit="2" ySplit="3" topLeftCell="C4" activePane="bottomRight" state="frozen"/>
      <selection activeCell="C45" sqref="C45"/>
      <selection pane="topRight" activeCell="C45" sqref="C45"/>
      <selection pane="bottomLeft" activeCell="C45" sqref="C45"/>
      <selection pane="bottomRight" activeCell="AA17" sqref="AA17"/>
    </sheetView>
  </sheetViews>
  <sheetFormatPr baseColWidth="10" defaultColWidth="11.3984375" defaultRowHeight="12" x14ac:dyDescent="0.3"/>
  <cols>
    <col min="1" max="1" width="2.8984375" style="2" bestFit="1" customWidth="1"/>
    <col min="2" max="2" width="31" style="2" bestFit="1" customWidth="1"/>
    <col min="3" max="3" width="11.3984375" style="2" bestFit="1" customWidth="1"/>
    <col min="4" max="4" width="10" style="2" bestFit="1" customWidth="1"/>
    <col min="5" max="5" width="9.8984375" style="2" bestFit="1" customWidth="1"/>
    <col min="6" max="6" width="9.09765625" style="2" bestFit="1" customWidth="1"/>
    <col min="7" max="7" width="11.3984375" style="2" bestFit="1" customWidth="1"/>
    <col min="8" max="8" width="10" style="2" bestFit="1" customWidth="1"/>
    <col min="9" max="9" width="10.8984375" style="2" bestFit="1" customWidth="1"/>
    <col min="10" max="10" width="9.09765625" style="2" bestFit="1" customWidth="1"/>
    <col min="11" max="12" width="11.3984375" style="2" bestFit="1" customWidth="1"/>
    <col min="13" max="13" width="10" style="2" bestFit="1" customWidth="1"/>
    <col min="14" max="14" width="9.09765625" style="2" bestFit="1" customWidth="1"/>
    <col min="15" max="16" width="11.3984375" style="2" bestFit="1" customWidth="1"/>
    <col min="17" max="17" width="10" style="2" bestFit="1" customWidth="1"/>
    <col min="18" max="18" width="9.09765625" style="2" bestFit="1" customWidth="1"/>
    <col min="19" max="20" width="11.3984375" style="2" bestFit="1" customWidth="1"/>
    <col min="21" max="21" width="10" style="2" bestFit="1" customWidth="1"/>
    <col min="22" max="22" width="9.09765625" style="2" bestFit="1" customWidth="1"/>
    <col min="23" max="16384" width="11.3984375" style="2"/>
  </cols>
  <sheetData>
    <row r="2" spans="1:26" x14ac:dyDescent="0.3">
      <c r="A2" s="328" t="s">
        <v>0</v>
      </c>
      <c r="B2" s="330" t="s">
        <v>1</v>
      </c>
      <c r="C2" s="327">
        <v>2019</v>
      </c>
      <c r="D2" s="327"/>
      <c r="E2" s="327"/>
      <c r="F2" s="327"/>
      <c r="G2" s="327">
        <v>2020</v>
      </c>
      <c r="H2" s="327"/>
      <c r="I2" s="327"/>
      <c r="J2" s="327"/>
      <c r="K2" s="327">
        <v>2021</v>
      </c>
      <c r="L2" s="327"/>
      <c r="M2" s="327"/>
      <c r="N2" s="327"/>
      <c r="O2" s="327">
        <v>2022</v>
      </c>
      <c r="P2" s="327"/>
      <c r="Q2" s="327"/>
      <c r="R2" s="327"/>
      <c r="S2" s="327">
        <v>2023</v>
      </c>
      <c r="T2" s="327"/>
      <c r="U2" s="327"/>
      <c r="V2" s="327"/>
      <c r="W2" s="364">
        <v>2024</v>
      </c>
      <c r="X2" s="362"/>
      <c r="Y2" s="362"/>
      <c r="Z2" s="363"/>
    </row>
    <row r="3" spans="1:26" ht="36.5" thickBot="1" x14ac:dyDescent="0.35">
      <c r="A3" s="329"/>
      <c r="B3" s="331"/>
      <c r="C3" s="221" t="s">
        <v>31</v>
      </c>
      <c r="D3" s="221" t="s">
        <v>32</v>
      </c>
      <c r="E3" s="221" t="s">
        <v>33</v>
      </c>
      <c r="F3" s="221" t="s">
        <v>34</v>
      </c>
      <c r="G3" s="221" t="s">
        <v>31</v>
      </c>
      <c r="H3" s="221" t="s">
        <v>32</v>
      </c>
      <c r="I3" s="221" t="s">
        <v>93</v>
      </c>
      <c r="J3" s="221" t="s">
        <v>34</v>
      </c>
      <c r="K3" s="221" t="s">
        <v>31</v>
      </c>
      <c r="L3" s="221" t="s">
        <v>32</v>
      </c>
      <c r="M3" s="221" t="s">
        <v>33</v>
      </c>
      <c r="N3" s="221" t="s">
        <v>34</v>
      </c>
      <c r="O3" s="221" t="s">
        <v>31</v>
      </c>
      <c r="P3" s="221" t="s">
        <v>32</v>
      </c>
      <c r="Q3" s="221" t="s">
        <v>33</v>
      </c>
      <c r="R3" s="221" t="s">
        <v>34</v>
      </c>
      <c r="S3" s="221" t="s">
        <v>31</v>
      </c>
      <c r="T3" s="221" t="s">
        <v>32</v>
      </c>
      <c r="U3" s="221" t="s">
        <v>33</v>
      </c>
      <c r="V3" s="221" t="s">
        <v>34</v>
      </c>
      <c r="W3" s="369" t="s">
        <v>31</v>
      </c>
      <c r="X3" s="366" t="s">
        <v>32</v>
      </c>
      <c r="Y3" s="366" t="s">
        <v>33</v>
      </c>
      <c r="Z3" s="371" t="s">
        <v>34</v>
      </c>
    </row>
    <row r="4" spans="1:26" x14ac:dyDescent="0.3">
      <c r="A4" s="2">
        <v>1</v>
      </c>
      <c r="B4" s="3" t="s">
        <v>9</v>
      </c>
      <c r="C4" s="4">
        <v>44836910</v>
      </c>
      <c r="D4" s="4">
        <v>4613545</v>
      </c>
      <c r="E4" s="4"/>
      <c r="F4" s="4">
        <v>340487.20800000004</v>
      </c>
      <c r="G4" s="4">
        <v>45628906</v>
      </c>
      <c r="H4" s="4">
        <v>4505762</v>
      </c>
      <c r="I4" s="4">
        <v>2166853</v>
      </c>
      <c r="J4" s="4">
        <v>340487.20800000004</v>
      </c>
      <c r="K4" s="4">
        <v>45684483</v>
      </c>
      <c r="L4" s="4">
        <v>4717769</v>
      </c>
      <c r="M4" s="4">
        <v>2235253</v>
      </c>
      <c r="N4" s="4">
        <v>333562</v>
      </c>
      <c r="O4" s="4">
        <v>45700000</v>
      </c>
      <c r="P4" s="4">
        <v>4800000</v>
      </c>
      <c r="Q4" s="4">
        <v>2327415</v>
      </c>
      <c r="R4" s="4">
        <v>335672</v>
      </c>
      <c r="S4" s="4">
        <v>44395959.630000003</v>
      </c>
      <c r="T4" s="4">
        <v>4716226</v>
      </c>
      <c r="U4" s="4">
        <v>2964418</v>
      </c>
      <c r="V4" s="4">
        <v>335020.71999999997</v>
      </c>
      <c r="W4" s="376">
        <v>45080274.990000002</v>
      </c>
      <c r="X4" s="372">
        <v>4618801.5719999978</v>
      </c>
      <c r="Y4" s="372">
        <v>2990227</v>
      </c>
      <c r="Z4" s="373">
        <v>335020.71999999997</v>
      </c>
    </row>
    <row r="5" spans="1:26" x14ac:dyDescent="0.3">
      <c r="A5" s="2">
        <v>2</v>
      </c>
      <c r="B5" s="3" t="s">
        <v>10</v>
      </c>
      <c r="C5" s="4">
        <v>2063000000</v>
      </c>
      <c r="D5" s="4">
        <v>329000000</v>
      </c>
      <c r="E5" s="4"/>
      <c r="F5" s="4">
        <v>18045822.024000004</v>
      </c>
      <c r="G5" s="4">
        <v>2098929676.0000002</v>
      </c>
      <c r="H5" s="4">
        <v>321643658</v>
      </c>
      <c r="I5" s="4">
        <v>203778160</v>
      </c>
      <c r="J5" s="4">
        <v>18045822.024000004</v>
      </c>
      <c r="K5" s="4">
        <v>2101486218</v>
      </c>
      <c r="L5" s="4">
        <v>335288378</v>
      </c>
      <c r="M5" s="4">
        <v>192087865</v>
      </c>
      <c r="N5" s="4">
        <v>17678786</v>
      </c>
      <c r="O5" s="4">
        <v>2102474252</v>
      </c>
      <c r="P5" s="4">
        <v>336788090</v>
      </c>
      <c r="Q5" s="4">
        <v>217167592</v>
      </c>
      <c r="R5" s="4">
        <v>17790616</v>
      </c>
      <c r="S5" s="4">
        <v>2042214142.98</v>
      </c>
      <c r="T5" s="4">
        <v>320777216</v>
      </c>
      <c r="U5" s="4">
        <v>293291043</v>
      </c>
      <c r="V5" s="4">
        <v>17756098.16</v>
      </c>
      <c r="W5" s="376">
        <v>2073692649.5400002</v>
      </c>
      <c r="X5" s="372">
        <v>281539634.67599988</v>
      </c>
      <c r="Y5" s="372">
        <v>306492215</v>
      </c>
      <c r="Z5" s="373">
        <v>17756098.16</v>
      </c>
    </row>
    <row r="6" spans="1:26" x14ac:dyDescent="0.3">
      <c r="A6" s="2">
        <v>3</v>
      </c>
      <c r="B6" s="3" t="s">
        <v>11</v>
      </c>
      <c r="C6" s="4">
        <v>119432262.11435369</v>
      </c>
      <c r="D6" s="4">
        <v>52727814.537044927</v>
      </c>
      <c r="E6" s="4"/>
      <c r="F6" s="4">
        <v>1100452</v>
      </c>
      <c r="G6" s="4">
        <v>74348676.297477126</v>
      </c>
      <c r="H6" s="4">
        <v>22222928.8826527</v>
      </c>
      <c r="I6" s="4">
        <v>12425000</v>
      </c>
      <c r="J6" s="4">
        <v>795799</v>
      </c>
      <c r="K6" s="4">
        <v>72582477.164421931</v>
      </c>
      <c r="L6" s="4">
        <v>27670768.794089943</v>
      </c>
      <c r="M6" s="4">
        <v>13901000</v>
      </c>
      <c r="N6" s="4">
        <v>791785</v>
      </c>
      <c r="O6" s="4">
        <v>100532127.60562047</v>
      </c>
      <c r="P6" s="4">
        <v>41544617.246254429</v>
      </c>
      <c r="Q6" s="4">
        <v>19122000</v>
      </c>
      <c r="R6" s="4">
        <v>1107913</v>
      </c>
      <c r="S6" s="4">
        <v>111322383.230561</v>
      </c>
      <c r="T6" s="4">
        <v>47871881.588326909</v>
      </c>
      <c r="U6" s="4">
        <v>24288000</v>
      </c>
      <c r="V6" s="4">
        <v>1266243</v>
      </c>
      <c r="W6" s="376">
        <v>116039940</v>
      </c>
      <c r="X6" s="372">
        <v>51578938.144193694</v>
      </c>
      <c r="Y6" s="372">
        <v>25850368</v>
      </c>
      <c r="Z6" s="373">
        <v>1266243</v>
      </c>
    </row>
    <row r="7" spans="1:26" x14ac:dyDescent="0.3">
      <c r="A7" s="2">
        <v>4</v>
      </c>
      <c r="B7" s="5" t="s">
        <v>12</v>
      </c>
      <c r="C7" s="4">
        <v>716593572.68612206</v>
      </c>
      <c r="D7" s="4">
        <v>168729006.51854378</v>
      </c>
      <c r="E7" s="4"/>
      <c r="F7" s="4">
        <v>5371103.7551503275</v>
      </c>
      <c r="G7" s="4">
        <v>401482852.0063765</v>
      </c>
      <c r="H7" s="4">
        <v>51112736.430101201</v>
      </c>
      <c r="I7" s="4">
        <v>60982765</v>
      </c>
      <c r="J7" s="4">
        <v>3883499</v>
      </c>
      <c r="K7" s="4">
        <v>420978367.55364698</v>
      </c>
      <c r="L7" s="4">
        <v>66409845.105815865</v>
      </c>
      <c r="M7" s="4">
        <v>70406428</v>
      </c>
      <c r="N7" s="4">
        <v>3863910.8</v>
      </c>
      <c r="O7" s="4">
        <v>543000000</v>
      </c>
      <c r="P7" s="4">
        <v>100000000</v>
      </c>
      <c r="Q7" s="4">
        <v>101501749</v>
      </c>
      <c r="R7" s="4">
        <v>5406615.4399999995</v>
      </c>
      <c r="S7" s="4">
        <v>590008631.12197328</v>
      </c>
      <c r="T7" s="4">
        <v>100530951.3354865</v>
      </c>
      <c r="U7" s="4">
        <v>132333825</v>
      </c>
      <c r="V7" s="4">
        <v>6179265.8399999999</v>
      </c>
      <c r="W7" s="376">
        <v>631843548.80001545</v>
      </c>
      <c r="X7" s="372">
        <v>113484795.86448769</v>
      </c>
      <c r="Y7" s="372">
        <v>139521927</v>
      </c>
      <c r="Z7" s="373">
        <v>6179265.8399999999</v>
      </c>
    </row>
    <row r="8" spans="1:26" x14ac:dyDescent="0.3">
      <c r="A8" s="2">
        <v>5</v>
      </c>
      <c r="B8" s="6" t="s">
        <v>13</v>
      </c>
      <c r="C8" s="4">
        <v>5963309030</v>
      </c>
      <c r="D8" s="4">
        <v>683263635</v>
      </c>
      <c r="E8" s="4"/>
      <c r="F8" s="4">
        <v>46306260.288000003</v>
      </c>
      <c r="G8" s="4">
        <v>6068644498</v>
      </c>
      <c r="H8" s="4">
        <v>667659314</v>
      </c>
      <c r="I8" s="4">
        <v>553112148</v>
      </c>
      <c r="J8" s="4">
        <v>46306260.288000003</v>
      </c>
      <c r="K8" s="4">
        <v>6076036239</v>
      </c>
      <c r="L8" s="4">
        <v>694965654</v>
      </c>
      <c r="M8" s="4">
        <v>521381348</v>
      </c>
      <c r="N8" s="4">
        <v>45364432</v>
      </c>
      <c r="O8" s="4">
        <v>6079000000</v>
      </c>
      <c r="P8" s="4">
        <v>706000000</v>
      </c>
      <c r="Q8" s="4">
        <v>627608284</v>
      </c>
      <c r="R8" s="4">
        <v>45651392</v>
      </c>
      <c r="S8" s="4">
        <v>5904662630.79</v>
      </c>
      <c r="T8" s="4">
        <v>727645525</v>
      </c>
      <c r="U8" s="4">
        <v>796075689</v>
      </c>
      <c r="V8" s="4">
        <v>45562817.919999994</v>
      </c>
      <c r="W8" s="376">
        <v>5995676573.6700001</v>
      </c>
      <c r="X8" s="372">
        <v>767439884.36399972</v>
      </c>
      <c r="Y8" s="372">
        <v>831907441</v>
      </c>
      <c r="Z8" s="373">
        <v>45562817.919999994</v>
      </c>
    </row>
    <row r="9" spans="1:26" x14ac:dyDescent="0.3">
      <c r="A9" s="2">
        <v>6</v>
      </c>
      <c r="B9" s="6" t="s">
        <v>14</v>
      </c>
      <c r="C9" s="4">
        <v>51562446.5</v>
      </c>
      <c r="D9" s="4">
        <v>5305576.75</v>
      </c>
      <c r="E9" s="4"/>
      <c r="F9" s="4">
        <v>340487.20800000004</v>
      </c>
      <c r="G9" s="4">
        <v>52473241.899999999</v>
      </c>
      <c r="H9" s="4">
        <v>5181626.3</v>
      </c>
      <c r="I9" s="4">
        <v>2491880.9499999997</v>
      </c>
      <c r="J9" s="4">
        <v>340487.20800000004</v>
      </c>
      <c r="K9" s="4">
        <v>52537155.449999996</v>
      </c>
      <c r="L9" s="4">
        <v>5425434.3499999987</v>
      </c>
      <c r="M9" s="4">
        <v>2570540.9499999997</v>
      </c>
      <c r="N9" s="4">
        <v>333562</v>
      </c>
      <c r="O9" s="4">
        <v>52555000</v>
      </c>
      <c r="P9" s="4">
        <v>5520000</v>
      </c>
      <c r="Q9" s="4">
        <v>2676527.25</v>
      </c>
      <c r="R9" s="4">
        <v>335672</v>
      </c>
      <c r="S9" s="4">
        <v>51055353.574499995</v>
      </c>
      <c r="T9" s="4">
        <v>5423659.8999999994</v>
      </c>
      <c r="U9" s="4">
        <v>3409080.6999999997</v>
      </c>
      <c r="V9" s="4">
        <v>335020.71999999997</v>
      </c>
      <c r="W9" s="376">
        <v>51842316.238499999</v>
      </c>
      <c r="X9" s="372">
        <v>5311621.8077999968</v>
      </c>
      <c r="Y9" s="372">
        <v>3438761.05</v>
      </c>
      <c r="Z9" s="373">
        <v>335020.71999999997</v>
      </c>
    </row>
    <row r="10" spans="1:26" x14ac:dyDescent="0.3">
      <c r="A10" s="2">
        <v>7</v>
      </c>
      <c r="B10" s="3" t="s">
        <v>15</v>
      </c>
      <c r="C10" s="4">
        <v>267498059.3731918</v>
      </c>
      <c r="D10" s="4">
        <v>414444924.20252705</v>
      </c>
      <c r="E10" s="4"/>
      <c r="F10" s="4">
        <v>10448000</v>
      </c>
      <c r="G10" s="4">
        <v>685011948.97212565</v>
      </c>
      <c r="H10" s="4">
        <v>741759770.78539491</v>
      </c>
      <c r="I10" s="4">
        <v>92592532</v>
      </c>
      <c r="J10" s="4">
        <v>12142000</v>
      </c>
      <c r="K10" s="4">
        <v>674747389.45319593</v>
      </c>
      <c r="L10" s="4">
        <v>711977333.3616904</v>
      </c>
      <c r="M10" s="4">
        <v>116346058</v>
      </c>
      <c r="N10" s="4">
        <v>9783000</v>
      </c>
      <c r="O10" s="4">
        <v>519550461.65975368</v>
      </c>
      <c r="P10" s="4">
        <v>635014682.94645822</v>
      </c>
      <c r="Q10" s="4">
        <v>89495960</v>
      </c>
      <c r="R10" s="4">
        <v>27471000</v>
      </c>
      <c r="S10" s="4">
        <v>559806030.03687525</v>
      </c>
      <c r="T10" s="4">
        <v>676614670.33756971</v>
      </c>
      <c r="U10" s="4">
        <v>96523384</v>
      </c>
      <c r="V10" s="4">
        <v>28790000</v>
      </c>
      <c r="W10" s="376">
        <v>417030876.54069299</v>
      </c>
      <c r="X10" s="372">
        <v>484198698.60182899</v>
      </c>
      <c r="Y10" s="372">
        <v>113450417</v>
      </c>
      <c r="Z10" s="373">
        <v>29990107</v>
      </c>
    </row>
    <row r="11" spans="1:26" x14ac:dyDescent="0.3">
      <c r="A11" s="2">
        <v>8</v>
      </c>
      <c r="B11" s="7" t="s">
        <v>16</v>
      </c>
      <c r="C11" s="4">
        <v>0</v>
      </c>
      <c r="D11" s="4">
        <v>0</v>
      </c>
      <c r="E11" s="4"/>
      <c r="F11" s="4"/>
      <c r="G11" s="4">
        <v>0</v>
      </c>
      <c r="H11" s="4">
        <v>0</v>
      </c>
      <c r="I11" s="4"/>
      <c r="J11" s="4"/>
      <c r="K11" s="4">
        <v>0</v>
      </c>
      <c r="L11" s="4">
        <v>0</v>
      </c>
      <c r="M11" s="4"/>
      <c r="N11" s="4"/>
      <c r="O11" s="4">
        <v>40000000</v>
      </c>
      <c r="P11" s="4">
        <v>0</v>
      </c>
      <c r="Q11" s="4"/>
      <c r="R11" s="4"/>
      <c r="S11" s="4">
        <v>0</v>
      </c>
      <c r="T11" s="4">
        <v>0</v>
      </c>
      <c r="U11" s="4"/>
      <c r="V11" s="4"/>
      <c r="W11" s="376"/>
      <c r="X11" s="372"/>
      <c r="Y11" s="372">
        <v>0</v>
      </c>
      <c r="Z11" s="373"/>
    </row>
    <row r="12" spans="1:26" x14ac:dyDescent="0.3">
      <c r="A12" s="2">
        <v>9</v>
      </c>
      <c r="B12" s="7" t="s">
        <v>17</v>
      </c>
      <c r="C12" s="4">
        <v>322376000</v>
      </c>
      <c r="D12" s="4">
        <v>28644000</v>
      </c>
      <c r="E12" s="4"/>
      <c r="F12" s="4"/>
      <c r="G12" s="4">
        <v>318344000</v>
      </c>
      <c r="H12" s="4">
        <v>35238000</v>
      </c>
      <c r="I12" s="4"/>
      <c r="J12" s="4"/>
      <c r="K12" s="4">
        <v>327746000</v>
      </c>
      <c r="L12" s="4">
        <v>71436000</v>
      </c>
      <c r="M12" s="4"/>
      <c r="N12" s="4"/>
      <c r="O12" s="4">
        <v>353892000</v>
      </c>
      <c r="P12" s="4">
        <v>76594000</v>
      </c>
      <c r="Q12" s="4"/>
      <c r="R12" s="4"/>
      <c r="S12" s="4">
        <v>318802000</v>
      </c>
      <c r="T12" s="4">
        <v>83000000</v>
      </c>
      <c r="U12" s="4"/>
      <c r="V12" s="4"/>
      <c r="W12" s="376">
        <v>330000000</v>
      </c>
      <c r="X12" s="372">
        <v>132200000</v>
      </c>
      <c r="Y12" s="372">
        <v>0</v>
      </c>
      <c r="Z12" s="373"/>
    </row>
    <row r="13" spans="1:26" x14ac:dyDescent="0.3">
      <c r="A13" s="2">
        <v>10</v>
      </c>
      <c r="B13" s="7" t="s">
        <v>28</v>
      </c>
      <c r="C13" s="4">
        <f>SUM(C10:C12)</f>
        <v>589874059.37319183</v>
      </c>
      <c r="D13" s="4">
        <f t="shared" ref="D13:V13" si="0">SUM(D10:D12)</f>
        <v>443088924.20252705</v>
      </c>
      <c r="E13" s="4">
        <f t="shared" si="0"/>
        <v>0</v>
      </c>
      <c r="F13" s="4">
        <f t="shared" si="0"/>
        <v>10448000</v>
      </c>
      <c r="G13" s="4">
        <f t="shared" si="0"/>
        <v>1003355948.9721256</v>
      </c>
      <c r="H13" s="4">
        <f t="shared" si="0"/>
        <v>776997770.78539491</v>
      </c>
      <c r="I13" s="4">
        <f t="shared" si="0"/>
        <v>92592532</v>
      </c>
      <c r="J13" s="4">
        <f t="shared" si="0"/>
        <v>12142000</v>
      </c>
      <c r="K13" s="4">
        <f t="shared" si="0"/>
        <v>1002493389.4531959</v>
      </c>
      <c r="L13" s="4">
        <f t="shared" si="0"/>
        <v>783413333.3616904</v>
      </c>
      <c r="M13" s="4">
        <v>116346058</v>
      </c>
      <c r="N13" s="4">
        <f t="shared" si="0"/>
        <v>9783000</v>
      </c>
      <c r="O13" s="4">
        <f t="shared" si="0"/>
        <v>913442461.65975368</v>
      </c>
      <c r="P13" s="4">
        <f t="shared" si="0"/>
        <v>711608682.94645822</v>
      </c>
      <c r="Q13" s="4">
        <f t="shared" si="0"/>
        <v>89495960</v>
      </c>
      <c r="R13" s="4">
        <f t="shared" si="0"/>
        <v>27471000</v>
      </c>
      <c r="S13" s="4">
        <f t="shared" si="0"/>
        <v>878608030.03687525</v>
      </c>
      <c r="T13" s="4">
        <f t="shared" si="0"/>
        <v>759614670.33756971</v>
      </c>
      <c r="U13" s="4">
        <f t="shared" si="0"/>
        <v>96523384</v>
      </c>
      <c r="V13" s="4">
        <f t="shared" si="0"/>
        <v>28790000</v>
      </c>
      <c r="W13" s="372">
        <f t="shared" ref="W13:Z13" si="1">SUM(W10:W12)</f>
        <v>747030876.54069304</v>
      </c>
      <c r="X13" s="372">
        <f t="shared" si="1"/>
        <v>616398698.60182905</v>
      </c>
      <c r="Y13" s="372">
        <f t="shared" si="1"/>
        <v>113450417</v>
      </c>
      <c r="Z13" s="372">
        <f t="shared" si="1"/>
        <v>29990107</v>
      </c>
    </row>
    <row r="14" spans="1:26" x14ac:dyDescent="0.3">
      <c r="A14" s="2">
        <v>11</v>
      </c>
      <c r="B14" s="8" t="s">
        <v>18</v>
      </c>
      <c r="C14" s="4">
        <v>1085113445.1477265</v>
      </c>
      <c r="D14" s="4">
        <v>479063692.46042144</v>
      </c>
      <c r="E14" s="4"/>
      <c r="F14" s="4">
        <v>14179617.857142856</v>
      </c>
      <c r="G14" s="4">
        <v>709766565.66624498</v>
      </c>
      <c r="H14" s="4">
        <v>212150272.17129937</v>
      </c>
      <c r="I14" s="4">
        <v>116161751</v>
      </c>
      <c r="J14" s="4">
        <v>0</v>
      </c>
      <c r="K14" s="4">
        <v>689617068.61001873</v>
      </c>
      <c r="L14" s="4">
        <v>262904149.9746376</v>
      </c>
      <c r="M14" s="4">
        <v>116350351</v>
      </c>
      <c r="N14" s="4">
        <v>8344531.2499999991</v>
      </c>
      <c r="O14" s="4">
        <v>1026907242.9058944</v>
      </c>
      <c r="P14" s="4">
        <v>424366512.17900491</v>
      </c>
      <c r="Q14" s="4">
        <v>178474627</v>
      </c>
      <c r="R14" s="4">
        <v>14348198.214285713</v>
      </c>
      <c r="S14" s="4">
        <v>1071571118.8629942</v>
      </c>
      <c r="T14" s="4">
        <v>460806930.52929097</v>
      </c>
      <c r="U14" s="4">
        <v>204858110</v>
      </c>
      <c r="V14" s="4">
        <v>16586630.357142856</v>
      </c>
      <c r="W14" s="376">
        <v>1234797988.2699599</v>
      </c>
      <c r="X14" s="372">
        <v>547854016.51932704</v>
      </c>
      <c r="Y14" s="372">
        <v>224156379</v>
      </c>
      <c r="Z14" s="373">
        <v>16543747.321428569</v>
      </c>
    </row>
    <row r="15" spans="1:26" x14ac:dyDescent="0.3">
      <c r="A15" s="2">
        <v>12</v>
      </c>
      <c r="B15" s="7" t="s">
        <v>19</v>
      </c>
      <c r="C15" s="4">
        <v>1722942504.5209181</v>
      </c>
      <c r="D15" s="4">
        <v>945786616.66294849</v>
      </c>
      <c r="E15" s="4"/>
      <c r="F15" s="4">
        <v>24208884</v>
      </c>
      <c r="G15" s="4">
        <v>1737960105.0320938</v>
      </c>
      <c r="H15" s="4">
        <v>995037160.44852269</v>
      </c>
      <c r="I15" s="4">
        <v>208754283</v>
      </c>
      <c r="J15" s="4">
        <v>27005958</v>
      </c>
      <c r="K15" s="4">
        <v>1728711780.5273826</v>
      </c>
      <c r="L15" s="4">
        <v>1052287378.8441834</v>
      </c>
      <c r="M15" s="4">
        <v>232696410</v>
      </c>
      <c r="N15" s="4">
        <v>24879771</v>
      </c>
      <c r="O15" s="4">
        <v>1981094243.7674596</v>
      </c>
      <c r="P15" s="4">
        <v>1152475399.7674105</v>
      </c>
      <c r="Q15" s="4">
        <v>267970586</v>
      </c>
      <c r="R15" s="4">
        <v>23806400</v>
      </c>
      <c r="S15" s="4">
        <v>1986355197.1089594</v>
      </c>
      <c r="T15" s="4">
        <v>1238351965.0687268</v>
      </c>
      <c r="U15" s="4">
        <v>301381494</v>
      </c>
      <c r="V15" s="4">
        <v>27214444</v>
      </c>
      <c r="W15" s="376">
        <v>1981828864.8106599</v>
      </c>
      <c r="X15" s="372">
        <v>1164252715.12116</v>
      </c>
      <c r="Y15" s="372">
        <v>337606796</v>
      </c>
      <c r="Z15" s="373">
        <v>28550363</v>
      </c>
    </row>
    <row r="16" spans="1:26" x14ac:dyDescent="0.3">
      <c r="A16" s="2">
        <v>13</v>
      </c>
      <c r="B16" s="9" t="s">
        <v>20</v>
      </c>
      <c r="C16" s="4">
        <v>0</v>
      </c>
      <c r="D16" s="4">
        <v>0</v>
      </c>
      <c r="E16" s="4"/>
      <c r="F16" s="4">
        <v>643000</v>
      </c>
      <c r="G16" s="4">
        <v>0</v>
      </c>
      <c r="H16" s="4">
        <v>0</v>
      </c>
      <c r="I16" s="4"/>
      <c r="J16" s="4">
        <v>495000</v>
      </c>
      <c r="K16" s="4">
        <v>0</v>
      </c>
      <c r="L16" s="4">
        <v>0</v>
      </c>
      <c r="M16" s="4"/>
      <c r="N16" s="4">
        <v>982000</v>
      </c>
      <c r="O16" s="4">
        <v>0</v>
      </c>
      <c r="P16" s="4">
        <v>0</v>
      </c>
      <c r="Q16" s="4"/>
      <c r="R16" s="4">
        <v>327000</v>
      </c>
      <c r="S16" s="4">
        <v>0</v>
      </c>
      <c r="T16" s="4">
        <v>0</v>
      </c>
      <c r="U16" s="4"/>
      <c r="V16" s="4">
        <v>1654000</v>
      </c>
      <c r="W16" s="376">
        <v>122947.985</v>
      </c>
      <c r="X16" s="372">
        <v>16682536</v>
      </c>
      <c r="Y16" s="372">
        <v>0</v>
      </c>
      <c r="Z16" s="373">
        <v>1579583</v>
      </c>
    </row>
    <row r="17" spans="1:26" x14ac:dyDescent="0.3">
      <c r="A17" s="2">
        <v>14</v>
      </c>
      <c r="B17" s="9" t="s">
        <v>21</v>
      </c>
      <c r="C17" s="4">
        <v>1722942504.5209181</v>
      </c>
      <c r="D17" s="4">
        <v>945786616.66294849</v>
      </c>
      <c r="E17" s="4"/>
      <c r="F17" s="4">
        <v>24851884</v>
      </c>
      <c r="G17" s="4">
        <v>1737960105.0320938</v>
      </c>
      <c r="H17" s="4">
        <v>995037160.44852269</v>
      </c>
      <c r="I17" s="4">
        <v>208754283</v>
      </c>
      <c r="J17" s="4">
        <v>27500958</v>
      </c>
      <c r="K17" s="4">
        <v>1728711780.5273826</v>
      </c>
      <c r="L17" s="4">
        <v>1052287378.8441834</v>
      </c>
      <c r="M17" s="4">
        <v>232696410</v>
      </c>
      <c r="N17" s="4">
        <v>25861771</v>
      </c>
      <c r="O17" s="4">
        <v>1981094243.7674596</v>
      </c>
      <c r="P17" s="4">
        <v>1152475399.7674105</v>
      </c>
      <c r="Q17" s="4">
        <v>267970586</v>
      </c>
      <c r="R17" s="4">
        <v>24133400</v>
      </c>
      <c r="S17" s="4">
        <v>1986355197.1089594</v>
      </c>
      <c r="T17" s="4">
        <v>1238351965.0687268</v>
      </c>
      <c r="U17" s="4">
        <v>301381494</v>
      </c>
      <c r="V17" s="4">
        <v>28868444</v>
      </c>
      <c r="W17" s="376">
        <v>2104776849.8106599</v>
      </c>
      <c r="X17" s="372">
        <v>1180935251.12116</v>
      </c>
      <c r="Y17" s="372">
        <v>337606796</v>
      </c>
      <c r="Z17" s="373">
        <v>30129946</v>
      </c>
    </row>
    <row r="18" spans="1:26" x14ac:dyDescent="0.3">
      <c r="A18" s="2">
        <v>15</v>
      </c>
      <c r="B18" s="9" t="s">
        <v>22</v>
      </c>
      <c r="C18" s="4"/>
      <c r="D18" s="4"/>
      <c r="E18" s="4"/>
      <c r="F18" s="4"/>
      <c r="G18" s="4"/>
      <c r="H18" s="4"/>
      <c r="I18" s="4"/>
      <c r="J18" s="4"/>
      <c r="K18" s="4"/>
      <c r="L18" s="4"/>
      <c r="M18" s="4"/>
      <c r="N18" s="4"/>
      <c r="O18" s="4"/>
      <c r="P18" s="4"/>
      <c r="Q18" s="4"/>
      <c r="R18" s="4"/>
      <c r="S18" s="4"/>
      <c r="T18" s="4"/>
      <c r="U18" s="4"/>
      <c r="V18" s="4"/>
      <c r="W18" s="376"/>
      <c r="X18" s="372"/>
      <c r="Y18" s="372"/>
      <c r="Z18" s="373"/>
    </row>
    <row r="19" spans="1:26" ht="13" x14ac:dyDescent="0.3">
      <c r="A19" s="2">
        <v>24</v>
      </c>
      <c r="B19" s="10" t="s">
        <v>23</v>
      </c>
      <c r="C19" s="44">
        <v>0</v>
      </c>
      <c r="D19" s="44">
        <v>0</v>
      </c>
      <c r="E19" s="44">
        <v>0</v>
      </c>
      <c r="F19" s="44">
        <v>0</v>
      </c>
      <c r="G19" s="44">
        <v>0</v>
      </c>
      <c r="H19" s="44">
        <v>0</v>
      </c>
      <c r="I19" s="44">
        <v>0</v>
      </c>
      <c r="J19" s="44">
        <v>0</v>
      </c>
      <c r="K19" s="44">
        <v>0</v>
      </c>
      <c r="L19" s="44">
        <v>0</v>
      </c>
      <c r="M19" s="44">
        <v>0</v>
      </c>
      <c r="N19" s="44">
        <v>0</v>
      </c>
      <c r="O19" s="44">
        <v>0</v>
      </c>
      <c r="P19" s="44">
        <v>0</v>
      </c>
      <c r="Q19" s="44">
        <v>0</v>
      </c>
      <c r="R19" s="44">
        <v>0</v>
      </c>
      <c r="S19" s="44">
        <v>0</v>
      </c>
      <c r="T19" s="44">
        <v>0</v>
      </c>
      <c r="U19" s="44">
        <v>0</v>
      </c>
      <c r="V19" s="44">
        <v>0</v>
      </c>
      <c r="W19" s="44">
        <v>0</v>
      </c>
      <c r="X19" s="44">
        <v>0</v>
      </c>
      <c r="Y19" s="44">
        <v>0</v>
      </c>
      <c r="Z19" s="44">
        <v>0</v>
      </c>
    </row>
    <row r="20" spans="1:26" x14ac:dyDescent="0.3">
      <c r="A20" s="2">
        <v>25</v>
      </c>
      <c r="B20" s="21" t="s">
        <v>36</v>
      </c>
      <c r="C20" s="4"/>
      <c r="D20" s="4"/>
      <c r="E20" s="4"/>
      <c r="F20" s="4"/>
      <c r="G20" s="4"/>
      <c r="H20" s="4"/>
      <c r="I20" s="4"/>
      <c r="J20" s="4"/>
      <c r="K20" s="4"/>
      <c r="L20" s="4"/>
      <c r="M20" s="4"/>
      <c r="N20" s="4"/>
      <c r="O20" s="4"/>
      <c r="P20" s="4"/>
      <c r="Q20" s="4"/>
      <c r="R20" s="4"/>
      <c r="S20" s="4"/>
      <c r="T20" s="4"/>
      <c r="U20" s="4"/>
      <c r="V20" s="4"/>
      <c r="W20" s="4"/>
      <c r="X20" s="4"/>
      <c r="Y20" s="4"/>
      <c r="Z20" s="4"/>
    </row>
    <row r="21" spans="1:26" x14ac:dyDescent="0.3">
      <c r="A21" s="2">
        <v>26</v>
      </c>
      <c r="B21" s="20" t="s">
        <v>35</v>
      </c>
      <c r="C21" s="80">
        <f t="shared" ref="C21:V21" si="2">(C7/C5)*100</f>
        <v>34.73551006718963</v>
      </c>
      <c r="D21" s="80">
        <f t="shared" si="2"/>
        <v>51.285412315666804</v>
      </c>
      <c r="E21" s="80"/>
      <c r="F21" s="80">
        <f t="shared" si="2"/>
        <v>29.763696815844902</v>
      </c>
      <c r="G21" s="80">
        <f t="shared" si="2"/>
        <v>19.127980160416602</v>
      </c>
      <c r="H21" s="80">
        <f t="shared" si="2"/>
        <v>15.8911065580846</v>
      </c>
      <c r="I21" s="80">
        <f t="shared" si="2"/>
        <v>29.926055373156768</v>
      </c>
      <c r="J21" s="80">
        <f t="shared" si="2"/>
        <v>21.520211131613447</v>
      </c>
      <c r="K21" s="80">
        <f t="shared" si="2"/>
        <v>20.032411535598612</v>
      </c>
      <c r="L21" s="80">
        <f t="shared" si="2"/>
        <v>19.806784088953975</v>
      </c>
      <c r="M21" s="80">
        <f t="shared" si="2"/>
        <v>36.653240953039898</v>
      </c>
      <c r="N21" s="80">
        <f t="shared" si="2"/>
        <v>21.856199854447016</v>
      </c>
      <c r="O21" s="80">
        <f t="shared" si="2"/>
        <v>25.826713429829912</v>
      </c>
      <c r="P21" s="80">
        <f t="shared" si="2"/>
        <v>29.692261386084052</v>
      </c>
      <c r="Q21" s="80">
        <f t="shared" si="2"/>
        <v>46.738902460179233</v>
      </c>
      <c r="R21" s="80">
        <f t="shared" si="2"/>
        <v>30.390265519754905</v>
      </c>
      <c r="S21" s="80">
        <f t="shared" si="2"/>
        <v>28.890634860702335</v>
      </c>
      <c r="T21" s="80">
        <f t="shared" si="2"/>
        <v>31.339804175956971</v>
      </c>
      <c r="U21" s="80">
        <f t="shared" si="2"/>
        <v>45.120309044009907</v>
      </c>
      <c r="V21" s="80">
        <f t="shared" si="2"/>
        <v>34.800809188588083</v>
      </c>
      <c r="W21" s="80">
        <f t="shared" ref="W21:Z21" si="3">(W7/W5)*100</f>
        <v>30.469488761518011</v>
      </c>
      <c r="X21" s="80">
        <f t="shared" si="3"/>
        <v>40.30863931292933</v>
      </c>
      <c r="Y21" s="80">
        <f t="shared" si="3"/>
        <v>45.52217647681524</v>
      </c>
      <c r="Z21" s="80">
        <f t="shared" si="3"/>
        <v>34.800809188588083</v>
      </c>
    </row>
    <row r="22" spans="1:26" x14ac:dyDescent="0.3">
      <c r="A22" s="2">
        <v>27</v>
      </c>
      <c r="B22" s="20" t="s">
        <v>37</v>
      </c>
      <c r="C22" s="4">
        <f t="shared" ref="C22:V22" si="4">C17-C14</f>
        <v>637829059.3731916</v>
      </c>
      <c r="D22" s="4">
        <f t="shared" si="4"/>
        <v>466722924.20252705</v>
      </c>
      <c r="E22" s="4"/>
      <c r="F22" s="4">
        <f t="shared" si="4"/>
        <v>10672266.142857144</v>
      </c>
      <c r="G22" s="4">
        <f t="shared" si="4"/>
        <v>1028193539.3658488</v>
      </c>
      <c r="H22" s="4">
        <f t="shared" si="4"/>
        <v>782886888.27722335</v>
      </c>
      <c r="I22" s="4">
        <f t="shared" si="4"/>
        <v>92592532</v>
      </c>
      <c r="J22" s="4">
        <f t="shared" si="4"/>
        <v>27500958</v>
      </c>
      <c r="K22" s="4">
        <f t="shared" si="4"/>
        <v>1039094711.9173639</v>
      </c>
      <c r="L22" s="4">
        <f t="shared" si="4"/>
        <v>789383228.86954582</v>
      </c>
      <c r="M22" s="4">
        <f t="shared" si="4"/>
        <v>116346059</v>
      </c>
      <c r="N22" s="4">
        <f t="shared" si="4"/>
        <v>17517239.75</v>
      </c>
      <c r="O22" s="4">
        <f t="shared" si="4"/>
        <v>954187000.86156523</v>
      </c>
      <c r="P22" s="4">
        <f t="shared" si="4"/>
        <v>728108887.58840561</v>
      </c>
      <c r="Q22" s="4">
        <f t="shared" si="4"/>
        <v>89495959</v>
      </c>
      <c r="R22" s="4">
        <f t="shared" si="4"/>
        <v>9785201.7857142873</v>
      </c>
      <c r="S22" s="4">
        <f t="shared" si="4"/>
        <v>914784078.24596524</v>
      </c>
      <c r="T22" s="4">
        <f t="shared" si="4"/>
        <v>777545034.53943586</v>
      </c>
      <c r="U22" s="4">
        <f t="shared" si="4"/>
        <v>96523384</v>
      </c>
      <c r="V22" s="4">
        <f t="shared" si="4"/>
        <v>12281813.642857144</v>
      </c>
      <c r="W22" s="4">
        <f t="shared" ref="W22:Z22" si="5">W17-W14</f>
        <v>869978861.54069996</v>
      </c>
      <c r="X22" s="4">
        <f t="shared" si="5"/>
        <v>633081234.60183299</v>
      </c>
      <c r="Y22" s="4">
        <f t="shared" si="5"/>
        <v>113450417</v>
      </c>
      <c r="Z22" s="4">
        <f t="shared" si="5"/>
        <v>13586198.678571431</v>
      </c>
    </row>
    <row r="23" spans="1:26" x14ac:dyDescent="0.3">
      <c r="A23" s="2">
        <v>28</v>
      </c>
      <c r="B23" s="20" t="s">
        <v>38</v>
      </c>
      <c r="C23" s="222">
        <f t="shared" ref="C23:V23" si="6">(C13/C17)*100</f>
        <v>34.236433184821358</v>
      </c>
      <c r="D23" s="222">
        <f t="shared" si="6"/>
        <v>46.848720038552983</v>
      </c>
      <c r="E23" s="222"/>
      <c r="F23" s="222">
        <f t="shared" si="6"/>
        <v>42.041078253865983</v>
      </c>
      <c r="G23" s="222">
        <f t="shared" si="6"/>
        <v>57.731817092176428</v>
      </c>
      <c r="H23" s="222">
        <f t="shared" si="6"/>
        <v>78.08731187839814</v>
      </c>
      <c r="I23" s="222">
        <f t="shared" si="6"/>
        <v>44.354793908587737</v>
      </c>
      <c r="J23" s="222">
        <f t="shared" si="6"/>
        <v>44.151189205845121</v>
      </c>
      <c r="K23" s="222">
        <f t="shared" si="6"/>
        <v>57.990776759059436</v>
      </c>
      <c r="L23" s="222">
        <f t="shared" si="6"/>
        <v>74.448610627847671</v>
      </c>
      <c r="M23" s="222">
        <f t="shared" si="6"/>
        <v>49.999077338580342</v>
      </c>
      <c r="N23" s="222">
        <f t="shared" si="6"/>
        <v>37.828035829410133</v>
      </c>
      <c r="O23" s="222">
        <f t="shared" si="6"/>
        <v>46.107976161833385</v>
      </c>
      <c r="P23" s="222">
        <f t="shared" si="6"/>
        <v>61.746106085220831</v>
      </c>
      <c r="Q23" s="222">
        <f t="shared" si="6"/>
        <v>33.397680445420228</v>
      </c>
      <c r="R23" s="222">
        <f t="shared" si="6"/>
        <v>113.82979605028716</v>
      </c>
      <c r="S23" s="222">
        <f t="shared" si="6"/>
        <v>44.232171130100255</v>
      </c>
      <c r="T23" s="222">
        <f t="shared" si="6"/>
        <v>61.340773202181829</v>
      </c>
      <c r="U23" s="222">
        <f t="shared" si="6"/>
        <v>32.026977741373862</v>
      </c>
      <c r="V23" s="222">
        <f t="shared" si="6"/>
        <v>99.728270772058238</v>
      </c>
      <c r="W23" s="222">
        <f t="shared" ref="W23:Z23" si="7">(W13/W17)*100</f>
        <v>35.492165195939606</v>
      </c>
      <c r="X23" s="222">
        <f t="shared" si="7"/>
        <v>52.19580819665012</v>
      </c>
      <c r="Y23" s="222">
        <f t="shared" si="7"/>
        <v>33.604304873057117</v>
      </c>
      <c r="Z23" s="222">
        <f t="shared" si="7"/>
        <v>99.535880349735777</v>
      </c>
    </row>
    <row r="24" spans="1:26" x14ac:dyDescent="0.3">
      <c r="A24" s="2">
        <v>29</v>
      </c>
      <c r="B24" s="20" t="s">
        <v>47</v>
      </c>
      <c r="C24" s="222">
        <f t="shared" ref="C24:V24" si="8">(C14/C17)*100</f>
        <v>62.980247007688362</v>
      </c>
      <c r="D24" s="222">
        <f t="shared" si="8"/>
        <v>50.652407638280863</v>
      </c>
      <c r="E24" s="222"/>
      <c r="F24" s="222">
        <f t="shared" si="8"/>
        <v>57.05651071420926</v>
      </c>
      <c r="G24" s="222">
        <f t="shared" si="8"/>
        <v>40.839059746606679</v>
      </c>
      <c r="H24" s="222">
        <f t="shared" si="8"/>
        <v>21.320839120789277</v>
      </c>
      <c r="I24" s="222">
        <f t="shared" si="8"/>
        <v>55.64520609141227</v>
      </c>
      <c r="J24" s="222">
        <f t="shared" si="8"/>
        <v>0</v>
      </c>
      <c r="K24" s="222">
        <f t="shared" si="8"/>
        <v>39.89196327450464</v>
      </c>
      <c r="L24" s="222">
        <f t="shared" si="8"/>
        <v>24.984063789058037</v>
      </c>
      <c r="M24" s="222">
        <f t="shared" si="8"/>
        <v>50.000922231675169</v>
      </c>
      <c r="N24" s="222">
        <f t="shared" si="8"/>
        <v>32.265892579437036</v>
      </c>
      <c r="O24" s="222">
        <f t="shared" si="8"/>
        <v>51.835355442405316</v>
      </c>
      <c r="P24" s="222">
        <f t="shared" si="8"/>
        <v>36.822175316249648</v>
      </c>
      <c r="Q24" s="222">
        <f t="shared" si="8"/>
        <v>66.602319927755062</v>
      </c>
      <c r="R24" s="222">
        <f t="shared" si="8"/>
        <v>59.453695767217681</v>
      </c>
      <c r="S24" s="222">
        <f t="shared" si="8"/>
        <v>53.946601313934806</v>
      </c>
      <c r="T24" s="222">
        <f t="shared" si="8"/>
        <v>37.211305309610978</v>
      </c>
      <c r="U24" s="222">
        <f t="shared" si="8"/>
        <v>67.973022258626131</v>
      </c>
      <c r="V24" s="222">
        <f t="shared" si="8"/>
        <v>57.455920925779225</v>
      </c>
      <c r="W24" s="222">
        <f t="shared" ref="W24:Z24" si="9">(W14/W17)*100</f>
        <v>58.666456179477599</v>
      </c>
      <c r="X24" s="222">
        <f t="shared" si="9"/>
        <v>46.391537215880689</v>
      </c>
      <c r="Y24" s="222">
        <f t="shared" si="9"/>
        <v>66.395695126942883</v>
      </c>
      <c r="Z24" s="222">
        <f t="shared" si="9"/>
        <v>54.907988621780369</v>
      </c>
    </row>
    <row r="25" spans="1:26" x14ac:dyDescent="0.3">
      <c r="A25" s="2">
        <v>30</v>
      </c>
      <c r="B25" s="20" t="s">
        <v>46</v>
      </c>
      <c r="C25" s="222">
        <f t="shared" ref="C25:V25" si="10">(C22/C17)*100</f>
        <v>37.019752992311631</v>
      </c>
      <c r="D25" s="222">
        <f t="shared" si="10"/>
        <v>49.347592361719137</v>
      </c>
      <c r="E25" s="222"/>
      <c r="F25" s="222">
        <f t="shared" si="10"/>
        <v>42.94348928579074</v>
      </c>
      <c r="G25" s="222">
        <f t="shared" si="10"/>
        <v>59.160940253393321</v>
      </c>
      <c r="H25" s="222">
        <f t="shared" si="10"/>
        <v>78.679160879210727</v>
      </c>
      <c r="I25" s="222">
        <f t="shared" si="10"/>
        <v>44.354793908587737</v>
      </c>
      <c r="J25" s="222">
        <f t="shared" si="10"/>
        <v>100</v>
      </c>
      <c r="K25" s="222">
        <f t="shared" si="10"/>
        <v>60.10803672549536</v>
      </c>
      <c r="L25" s="222">
        <f t="shared" si="10"/>
        <v>75.015936210941959</v>
      </c>
      <c r="M25" s="222">
        <f t="shared" si="10"/>
        <v>49.999077768324831</v>
      </c>
      <c r="N25" s="222">
        <f t="shared" si="10"/>
        <v>67.734107420562964</v>
      </c>
      <c r="O25" s="222">
        <f t="shared" si="10"/>
        <v>48.164644557594684</v>
      </c>
      <c r="P25" s="222">
        <f t="shared" si="10"/>
        <v>63.177824683750352</v>
      </c>
      <c r="Q25" s="222">
        <f t="shared" si="10"/>
        <v>33.397680072244945</v>
      </c>
      <c r="R25" s="222">
        <f t="shared" si="10"/>
        <v>40.546304232782319</v>
      </c>
      <c r="S25" s="222">
        <f t="shared" si="10"/>
        <v>46.053398686065194</v>
      </c>
      <c r="T25" s="222">
        <f t="shared" si="10"/>
        <v>62.788694690389036</v>
      </c>
      <c r="U25" s="222">
        <f t="shared" si="10"/>
        <v>32.026977741373862</v>
      </c>
      <c r="V25" s="222">
        <f t="shared" si="10"/>
        <v>42.544079074220775</v>
      </c>
      <c r="W25" s="222">
        <f t="shared" ref="W25:Z25" si="11">(W22/W17)*100</f>
        <v>41.333543820522394</v>
      </c>
      <c r="X25" s="222">
        <f t="shared" si="11"/>
        <v>53.608462784119304</v>
      </c>
      <c r="Y25" s="222">
        <f t="shared" si="11"/>
        <v>33.604304873057117</v>
      </c>
      <c r="Z25" s="222">
        <f t="shared" si="11"/>
        <v>45.092011378219631</v>
      </c>
    </row>
    <row r="26" spans="1:26" x14ac:dyDescent="0.3">
      <c r="A26" s="2">
        <v>31</v>
      </c>
      <c r="B26" s="20" t="s">
        <v>39</v>
      </c>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row>
    <row r="27" spans="1:26" x14ac:dyDescent="0.3">
      <c r="A27" s="2">
        <v>32</v>
      </c>
      <c r="B27" s="20" t="s">
        <v>40</v>
      </c>
      <c r="C27" s="222">
        <f>C15/C5</f>
        <v>0.83516359889525837</v>
      </c>
      <c r="D27" s="222">
        <f t="shared" ref="D27:V27" si="12">D15/D5</f>
        <v>2.8747313576381415</v>
      </c>
      <c r="E27" s="222"/>
      <c r="F27" s="222">
        <f t="shared" si="12"/>
        <v>1.341522928010896</v>
      </c>
      <c r="G27" s="222">
        <f t="shared" si="12"/>
        <v>0.82802207472914569</v>
      </c>
      <c r="H27" s="222">
        <f t="shared" si="12"/>
        <v>3.0936010572561101</v>
      </c>
      <c r="I27" s="222">
        <f t="shared" si="12"/>
        <v>1.0244193146115363</v>
      </c>
      <c r="J27" s="222">
        <f t="shared" si="12"/>
        <v>1.4965213534791311</v>
      </c>
      <c r="K27" s="222">
        <f t="shared" si="12"/>
        <v>0.82261390330344897</v>
      </c>
      <c r="L27" s="222">
        <f t="shared" si="12"/>
        <v>3.1384546792856134</v>
      </c>
      <c r="M27" s="222">
        <f t="shared" si="12"/>
        <v>1.2114060927274088</v>
      </c>
      <c r="N27" s="222">
        <f t="shared" si="12"/>
        <v>1.4073235006068856</v>
      </c>
      <c r="O27" s="222">
        <f t="shared" si="12"/>
        <v>0.94226801678209549</v>
      </c>
      <c r="P27" s="222">
        <f t="shared" si="12"/>
        <v>3.4219600810925663</v>
      </c>
      <c r="Q27" s="222">
        <f t="shared" si="12"/>
        <v>1.2339345089759064</v>
      </c>
      <c r="R27" s="222">
        <f t="shared" si="12"/>
        <v>1.3381436595562515</v>
      </c>
      <c r="S27" s="222">
        <f t="shared" si="12"/>
        <v>0.97264785083236616</v>
      </c>
      <c r="T27" s="222">
        <f t="shared" si="12"/>
        <v>3.8604735726265758</v>
      </c>
      <c r="U27" s="222">
        <f t="shared" si="12"/>
        <v>1.0275850599365217</v>
      </c>
      <c r="V27" s="222">
        <f t="shared" si="12"/>
        <v>1.53268154719415</v>
      </c>
      <c r="W27" s="222">
        <f t="shared" ref="W27:Z27" si="13">W15/W5</f>
        <v>0.9557003856141757</v>
      </c>
      <c r="X27" s="222">
        <f t="shared" si="13"/>
        <v>4.135306620188663</v>
      </c>
      <c r="Y27" s="222">
        <f t="shared" si="13"/>
        <v>1.1015183403598032</v>
      </c>
      <c r="Z27" s="222">
        <f t="shared" si="13"/>
        <v>1.6079187410844995</v>
      </c>
    </row>
    <row r="28" spans="1:26" x14ac:dyDescent="0.3">
      <c r="A28" s="2">
        <v>33</v>
      </c>
      <c r="B28" s="20" t="s">
        <v>48</v>
      </c>
      <c r="C28" s="222">
        <f>C14/C5</f>
        <v>0.5259880975025335</v>
      </c>
      <c r="D28" s="222">
        <f t="shared" ref="D28:V28" si="14">D14/D5</f>
        <v>1.4561206457763569</v>
      </c>
      <c r="E28" s="222"/>
      <c r="F28" s="222">
        <f t="shared" si="14"/>
        <v>0.78575627301902362</v>
      </c>
      <c r="G28" s="222">
        <f t="shared" si="14"/>
        <v>0.33815642981372801</v>
      </c>
      <c r="H28" s="222">
        <f t="shared" si="14"/>
        <v>0.65958170445661135</v>
      </c>
      <c r="I28" s="222">
        <f t="shared" si="14"/>
        <v>0.57004023885582245</v>
      </c>
      <c r="J28" s="222">
        <f t="shared" si="14"/>
        <v>0</v>
      </c>
      <c r="K28" s="222">
        <f t="shared" si="14"/>
        <v>0.32815683619678099</v>
      </c>
      <c r="L28" s="222">
        <f t="shared" si="14"/>
        <v>0.78411351906339444</v>
      </c>
      <c r="M28" s="223">
        <f>M14/M5</f>
        <v>0.60571421833440653</v>
      </c>
      <c r="N28" s="222">
        <f t="shared" si="14"/>
        <v>0.47200815994944445</v>
      </c>
      <c r="O28" s="222">
        <f t="shared" si="14"/>
        <v>0.48842797571910262</v>
      </c>
      <c r="P28" s="222">
        <f t="shared" si="14"/>
        <v>1.2600401403119834</v>
      </c>
      <c r="Q28" s="222">
        <f t="shared" si="14"/>
        <v>0.82182900936710668</v>
      </c>
      <c r="R28" s="222">
        <f t="shared" si="14"/>
        <v>0.80650373288287003</v>
      </c>
      <c r="S28" s="222">
        <f t="shared" si="14"/>
        <v>0.52471045827709184</v>
      </c>
      <c r="T28" s="222">
        <f t="shared" si="14"/>
        <v>1.4365326075069216</v>
      </c>
      <c r="U28" s="222">
        <f t="shared" si="14"/>
        <v>0.69848062151696877</v>
      </c>
      <c r="V28" s="222">
        <f t="shared" si="14"/>
        <v>0.93413711772039765</v>
      </c>
      <c r="W28" s="222">
        <f t="shared" ref="W28:Z28" si="15">W14/W5</f>
        <v>0.59545853554714134</v>
      </c>
      <c r="X28" s="222">
        <f t="shared" si="15"/>
        <v>1.9459214584468927</v>
      </c>
      <c r="Y28" s="222">
        <f t="shared" si="15"/>
        <v>0.73136075903265607</v>
      </c>
      <c r="Z28" s="222">
        <f t="shared" si="15"/>
        <v>0.93172200177950404</v>
      </c>
    </row>
    <row r="29" spans="1:26" x14ac:dyDescent="0.3">
      <c r="A29" s="2">
        <v>34</v>
      </c>
      <c r="B29" s="20" t="s">
        <v>41</v>
      </c>
      <c r="C29" s="222">
        <f>C17/C6</f>
        <v>14.426106263240996</v>
      </c>
      <c r="D29" s="222">
        <f t="shared" ref="D29:V29" si="16">D17/D6</f>
        <v>17.937148068188339</v>
      </c>
      <c r="E29" s="222"/>
      <c r="F29" s="222">
        <f t="shared" si="16"/>
        <v>22.583342117602584</v>
      </c>
      <c r="G29" s="222">
        <f t="shared" si="16"/>
        <v>23.375804272268773</v>
      </c>
      <c r="H29" s="222">
        <f t="shared" si="16"/>
        <v>44.775248379850254</v>
      </c>
      <c r="I29" s="222">
        <f t="shared" si="16"/>
        <v>16.801149537223338</v>
      </c>
      <c r="J29" s="222">
        <f t="shared" si="16"/>
        <v>34.557668456482105</v>
      </c>
      <c r="K29" s="222">
        <f t="shared" si="16"/>
        <v>23.81720558546537</v>
      </c>
      <c r="L29" s="222">
        <f t="shared" si="16"/>
        <v>38.028845048531359</v>
      </c>
      <c r="M29" s="223">
        <f t="shared" si="16"/>
        <v>16.73954463707647</v>
      </c>
      <c r="N29" s="222">
        <f t="shared" si="16"/>
        <v>32.662618008676596</v>
      </c>
      <c r="O29" s="222">
        <f t="shared" si="16"/>
        <v>19.706080941001613</v>
      </c>
      <c r="P29" s="222">
        <f t="shared" si="16"/>
        <v>27.740667170818988</v>
      </c>
      <c r="Q29" s="222">
        <f t="shared" si="16"/>
        <v>14.013732140989436</v>
      </c>
      <c r="R29" s="222">
        <f t="shared" si="16"/>
        <v>21.782757310366428</v>
      </c>
      <c r="S29" s="222">
        <f t="shared" si="16"/>
        <v>17.843268707201474</v>
      </c>
      <c r="T29" s="222">
        <f t="shared" si="16"/>
        <v>25.868044538501842</v>
      </c>
      <c r="U29" s="222">
        <f t="shared" si="16"/>
        <v>12.408658349802371</v>
      </c>
      <c r="V29" s="222">
        <f t="shared" si="16"/>
        <v>22.798502341177798</v>
      </c>
      <c r="W29" s="222">
        <f t="shared" ref="W29:Z29" si="17">W17/W6</f>
        <v>18.138382782778585</v>
      </c>
      <c r="X29" s="222">
        <f t="shared" si="17"/>
        <v>22.895687534701594</v>
      </c>
      <c r="Y29" s="222">
        <f t="shared" si="17"/>
        <v>13.060038294232408</v>
      </c>
      <c r="Z29" s="222">
        <f t="shared" si="17"/>
        <v>23.794758194122299</v>
      </c>
    </row>
    <row r="30" spans="1:26" x14ac:dyDescent="0.3">
      <c r="A30" s="2">
        <v>35</v>
      </c>
      <c r="B30" s="20" t="s">
        <v>42</v>
      </c>
      <c r="C30" s="222">
        <f>C14/C6</f>
        <v>9.0855973581807827</v>
      </c>
      <c r="D30" s="222">
        <f t="shared" ref="D30:V30" si="18">D14/D6</f>
        <v>9.0855973581807792</v>
      </c>
      <c r="E30" s="222"/>
      <c r="F30" s="222">
        <f t="shared" si="18"/>
        <v>12.885267014956451</v>
      </c>
      <c r="G30" s="222">
        <f t="shared" si="18"/>
        <v>9.5464586730016805</v>
      </c>
      <c r="H30" s="222">
        <f t="shared" si="18"/>
        <v>9.5464586730016787</v>
      </c>
      <c r="I30" s="222">
        <f t="shared" si="18"/>
        <v>9.3490342857142856</v>
      </c>
      <c r="J30" s="222">
        <f t="shared" si="18"/>
        <v>0</v>
      </c>
      <c r="K30" s="222">
        <f t="shared" si="18"/>
        <v>9.5011509051671137</v>
      </c>
      <c r="L30" s="222">
        <f t="shared" si="18"/>
        <v>9.5011509051671137</v>
      </c>
      <c r="M30" s="223">
        <f t="shared" si="18"/>
        <v>8.3699266959211567</v>
      </c>
      <c r="N30" s="222">
        <f t="shared" si="18"/>
        <v>10.538885240311448</v>
      </c>
      <c r="O30" s="222">
        <f t="shared" si="18"/>
        <v>10.214717099536276</v>
      </c>
      <c r="P30" s="222">
        <f t="shared" si="18"/>
        <v>10.214717099536278</v>
      </c>
      <c r="Q30" s="222">
        <f t="shared" si="18"/>
        <v>9.3334707143604234</v>
      </c>
      <c r="R30" s="222">
        <f t="shared" si="18"/>
        <v>12.950654261016625</v>
      </c>
      <c r="S30" s="222">
        <f t="shared" si="18"/>
        <v>9.6258370308480696</v>
      </c>
      <c r="T30" s="222">
        <f t="shared" si="18"/>
        <v>9.6258370308480679</v>
      </c>
      <c r="U30" s="222">
        <f t="shared" si="18"/>
        <v>8.4345401021080377</v>
      </c>
      <c r="V30" s="222">
        <f t="shared" si="18"/>
        <v>13.099089477409041</v>
      </c>
      <c r="W30" s="222">
        <f t="shared" ref="W30:Z30" si="19">W14/W6</f>
        <v>10.641146386924708</v>
      </c>
      <c r="X30" s="222">
        <f t="shared" si="19"/>
        <v>10.621661403492846</v>
      </c>
      <c r="Y30" s="222">
        <f t="shared" si="19"/>
        <v>8.6713032093005413</v>
      </c>
      <c r="Z30" s="222">
        <f t="shared" si="19"/>
        <v>13.065223121808822</v>
      </c>
    </row>
    <row r="31" spans="1:26" x14ac:dyDescent="0.3">
      <c r="A31" s="2">
        <v>36</v>
      </c>
      <c r="B31" s="20" t="s">
        <v>43</v>
      </c>
      <c r="C31" s="222">
        <f>C13/C6</f>
        <v>4.9389842319858328</v>
      </c>
      <c r="D31" s="222">
        <f t="shared" ref="D31:V31" si="20">D13/D6</f>
        <v>8.4033242813662703</v>
      </c>
      <c r="E31" s="222"/>
      <c r="F31" s="222">
        <f t="shared" si="20"/>
        <v>9.4942805319995784</v>
      </c>
      <c r="G31" s="222">
        <f t="shared" si="20"/>
        <v>13.49527656629137</v>
      </c>
      <c r="H31" s="222">
        <f t="shared" si="20"/>
        <v>34.963787846701081</v>
      </c>
      <c r="I31" s="222">
        <f t="shared" si="20"/>
        <v>7.4521152515090545</v>
      </c>
      <c r="J31" s="222">
        <f t="shared" si="20"/>
        <v>15.257621585350069</v>
      </c>
      <c r="K31" s="222">
        <f t="shared" si="20"/>
        <v>13.811782521313457</v>
      </c>
      <c r="L31" s="222">
        <f t="shared" si="20"/>
        <v>28.311946776448639</v>
      </c>
      <c r="M31" s="223">
        <f t="shared" si="20"/>
        <v>8.3696178692180414</v>
      </c>
      <c r="N31" s="222">
        <f t="shared" si="20"/>
        <v>12.355626843145551</v>
      </c>
      <c r="O31" s="222">
        <f t="shared" si="20"/>
        <v>9.086075102708616</v>
      </c>
      <c r="P31" s="222">
        <f t="shared" si="20"/>
        <v>17.128781780041919</v>
      </c>
      <c r="Q31" s="222">
        <f t="shared" si="20"/>
        <v>4.6802614789247983</v>
      </c>
      <c r="R31" s="222">
        <f t="shared" si="20"/>
        <v>24.795268220519119</v>
      </c>
      <c r="S31" s="222">
        <f t="shared" si="20"/>
        <v>7.8924651497729847</v>
      </c>
      <c r="T31" s="222">
        <f t="shared" si="20"/>
        <v>15.8676585322018</v>
      </c>
      <c r="U31" s="222">
        <f t="shared" si="20"/>
        <v>3.9741182476943346</v>
      </c>
      <c r="V31" s="222">
        <f t="shared" si="20"/>
        <v>22.736552146783833</v>
      </c>
      <c r="W31" s="222">
        <f t="shared" ref="W31:Z31" si="21">W13/W6</f>
        <v>6.4377047811356425</v>
      </c>
      <c r="X31" s="222">
        <f t="shared" si="21"/>
        <v>11.950589150917171</v>
      </c>
      <c r="Y31" s="222">
        <f t="shared" si="21"/>
        <v>4.3887350849318665</v>
      </c>
      <c r="Z31" s="222">
        <f t="shared" si="21"/>
        <v>23.684322045610518</v>
      </c>
    </row>
    <row r="32" spans="1:26" x14ac:dyDescent="0.3">
      <c r="B32" s="20"/>
    </row>
    <row r="33" spans="2:12" x14ac:dyDescent="0.3">
      <c r="B33" s="20"/>
    </row>
    <row r="34" spans="2:12" x14ac:dyDescent="0.3">
      <c r="B34" s="20"/>
    </row>
    <row r="36" spans="2:12" x14ac:dyDescent="0.3">
      <c r="G36" s="4"/>
      <c r="H36" s="4"/>
      <c r="I36" s="4"/>
      <c r="J36" s="4"/>
      <c r="K36" s="4"/>
      <c r="L36" s="4"/>
    </row>
    <row r="37" spans="2:12" x14ac:dyDescent="0.3">
      <c r="G37" s="4"/>
      <c r="H37" s="4"/>
      <c r="I37" s="4"/>
      <c r="J37" s="4"/>
      <c r="K37" s="4"/>
      <c r="L37" s="4"/>
    </row>
    <row r="38" spans="2:12" x14ac:dyDescent="0.3">
      <c r="G38" s="4"/>
      <c r="H38" s="4"/>
      <c r="I38" s="4"/>
      <c r="J38" s="4"/>
      <c r="K38" s="4"/>
      <c r="L38" s="4"/>
    </row>
    <row r="39" spans="2:12" x14ac:dyDescent="0.3">
      <c r="G39" s="4"/>
      <c r="H39" s="4"/>
      <c r="I39" s="4"/>
      <c r="J39" s="4"/>
      <c r="K39" s="4"/>
      <c r="L39" s="4"/>
    </row>
    <row r="40" spans="2:12" x14ac:dyDescent="0.3">
      <c r="G40" s="4"/>
      <c r="H40" s="4"/>
      <c r="I40" s="4"/>
      <c r="J40" s="4"/>
      <c r="K40" s="4"/>
      <c r="L40" s="4"/>
    </row>
  </sheetData>
  <mergeCells count="8">
    <mergeCell ref="W2:Z2"/>
    <mergeCell ref="O2:R2"/>
    <mergeCell ref="S2:V2"/>
    <mergeCell ref="A2:A3"/>
    <mergeCell ref="B2:B3"/>
    <mergeCell ref="C2:F2"/>
    <mergeCell ref="G2:J2"/>
    <mergeCell ref="K2:N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73065-19AF-488D-96A4-89975103EC45}">
  <sheetPr>
    <tabColor theme="3" tint="0.39997558519241921"/>
  </sheetPr>
  <dimension ref="A2:BR35"/>
  <sheetViews>
    <sheetView workbookViewId="0">
      <pane xSplit="2" ySplit="3" topLeftCell="AU4" activePane="bottomRight" state="frozen"/>
      <selection activeCell="C45" sqref="C45"/>
      <selection pane="topRight" activeCell="C45" sqref="C45"/>
      <selection pane="bottomLeft" activeCell="C45" sqref="C45"/>
      <selection pane="bottomRight" activeCell="BT22" sqref="BT22"/>
    </sheetView>
  </sheetViews>
  <sheetFormatPr baseColWidth="10" defaultColWidth="10.8984375" defaultRowHeight="12" x14ac:dyDescent="0.3"/>
  <cols>
    <col min="1" max="1" width="2.296875" style="2" customWidth="1"/>
    <col min="2" max="2" width="31" style="2" bestFit="1" customWidth="1"/>
    <col min="3" max="3" width="10" style="2" customWidth="1"/>
    <col min="4" max="6" width="10" style="2" bestFit="1" customWidth="1"/>
    <col min="7" max="7" width="10" style="2" customWidth="1"/>
    <col min="8" max="8" width="10" style="2" bestFit="1" customWidth="1"/>
    <col min="9" max="9" width="9.09765625" style="2" bestFit="1" customWidth="1"/>
    <col min="10" max="13" width="10" style="2" bestFit="1" customWidth="1"/>
    <col min="14" max="14" width="10" style="2" customWidth="1"/>
    <col min="15" max="18" width="10" style="2" bestFit="1" customWidth="1"/>
    <col min="19" max="23" width="7" style="2" bestFit="1" customWidth="1"/>
    <col min="24" max="24" width="10.296875" style="2" customWidth="1"/>
    <col min="25" max="27" width="10.59765625" style="2" bestFit="1" customWidth="1"/>
    <col min="28" max="28" width="10.59765625" style="2" customWidth="1"/>
    <col min="29" max="29" width="10.59765625" style="2" bestFit="1" customWidth="1"/>
    <col min="30" max="33" width="10" style="220" bestFit="1" customWidth="1"/>
    <col min="34" max="34" width="10" style="220" customWidth="1"/>
    <col min="35" max="35" width="10" style="220" bestFit="1" customWidth="1"/>
    <col min="36" max="39" width="8.09765625" style="2" bestFit="1" customWidth="1"/>
    <col min="40" max="40" width="9.296875" style="2" customWidth="1"/>
    <col min="41" max="41" width="9.09765625" style="2" bestFit="1" customWidth="1"/>
    <col min="42" max="42" width="10" style="2" bestFit="1" customWidth="1"/>
    <col min="43" max="45" width="9.09765625" style="2" bestFit="1" customWidth="1"/>
    <col min="46" max="46" width="9.09765625" style="2" customWidth="1"/>
    <col min="47" max="47" width="9.09765625" style="2" bestFit="1" customWidth="1"/>
    <col min="48" max="51" width="10" style="2" bestFit="1" customWidth="1"/>
    <col min="52" max="52" width="10" style="2" customWidth="1"/>
    <col min="53" max="57" width="10" style="2" bestFit="1" customWidth="1"/>
    <col min="58" max="58" width="10" style="2" customWidth="1"/>
    <col min="59" max="59" width="10" style="2" bestFit="1" customWidth="1"/>
    <col min="60" max="60" width="15" style="2" customWidth="1"/>
    <col min="61" max="64" width="10" style="2" bestFit="1" customWidth="1"/>
    <col min="65" max="16384" width="10.8984375" style="2"/>
  </cols>
  <sheetData>
    <row r="2" spans="1:70" s="96" customFormat="1" x14ac:dyDescent="0.3">
      <c r="B2" s="328" t="s">
        <v>76</v>
      </c>
      <c r="C2" s="324" t="s">
        <v>2</v>
      </c>
      <c r="D2" s="324"/>
      <c r="E2" s="324"/>
      <c r="F2" s="324"/>
      <c r="G2" s="324"/>
      <c r="H2" s="332"/>
      <c r="I2" s="333" t="s">
        <v>3</v>
      </c>
      <c r="J2" s="324"/>
      <c r="K2" s="324"/>
      <c r="L2" s="324"/>
      <c r="M2" s="324"/>
      <c r="N2" s="332"/>
      <c r="O2" s="333" t="s">
        <v>5</v>
      </c>
      <c r="P2" s="324"/>
      <c r="Q2" s="324"/>
      <c r="R2" s="332"/>
      <c r="S2" s="333" t="s">
        <v>6</v>
      </c>
      <c r="T2" s="324"/>
      <c r="U2" s="324"/>
      <c r="V2" s="324"/>
      <c r="W2" s="332"/>
      <c r="X2" s="288"/>
      <c r="Y2" s="326" t="s">
        <v>197</v>
      </c>
      <c r="Z2" s="323"/>
      <c r="AA2" s="323"/>
      <c r="AB2" s="323"/>
      <c r="AC2" s="325"/>
      <c r="AD2" s="325" t="s">
        <v>198</v>
      </c>
      <c r="AE2" s="334"/>
      <c r="AF2" s="334"/>
      <c r="AG2" s="334"/>
      <c r="AH2" s="420"/>
      <c r="AI2" s="334"/>
      <c r="AJ2" s="326" t="s">
        <v>73</v>
      </c>
      <c r="AK2" s="323"/>
      <c r="AL2" s="323"/>
      <c r="AM2" s="323"/>
      <c r="AN2" s="323"/>
      <c r="AO2" s="332"/>
      <c r="AP2" s="326" t="s">
        <v>225</v>
      </c>
      <c r="AQ2" s="323"/>
      <c r="AR2" s="323"/>
      <c r="AS2" s="323"/>
      <c r="AT2" s="323"/>
      <c r="AU2" s="332"/>
      <c r="AV2" s="326" t="s">
        <v>74</v>
      </c>
      <c r="AW2" s="323"/>
      <c r="AX2" s="323"/>
      <c r="AY2" s="323"/>
      <c r="AZ2" s="323"/>
      <c r="BA2" s="332"/>
      <c r="BB2" s="326" t="s">
        <v>94</v>
      </c>
      <c r="BC2" s="323"/>
      <c r="BD2" s="323"/>
      <c r="BE2" s="323"/>
      <c r="BF2" s="323"/>
      <c r="BG2" s="332"/>
      <c r="BH2" s="326" t="s">
        <v>8</v>
      </c>
      <c r="BI2" s="323"/>
      <c r="BJ2" s="323"/>
      <c r="BK2" s="323"/>
      <c r="BL2" s="323"/>
      <c r="BM2" s="227"/>
      <c r="BN2" s="427" t="s">
        <v>213</v>
      </c>
    </row>
    <row r="3" spans="1:70" s="174" customFormat="1" ht="12.5" thickBot="1" x14ac:dyDescent="0.35">
      <c r="B3" s="329"/>
      <c r="C3" s="47">
        <v>2019</v>
      </c>
      <c r="D3" s="47">
        <v>2020</v>
      </c>
      <c r="E3" s="47">
        <v>2021</v>
      </c>
      <c r="F3" s="47">
        <v>2022</v>
      </c>
      <c r="G3" s="48">
        <v>2023</v>
      </c>
      <c r="H3" s="415">
        <v>2024</v>
      </c>
      <c r="I3" s="47">
        <v>2019</v>
      </c>
      <c r="J3" s="47">
        <v>2020</v>
      </c>
      <c r="K3" s="47">
        <v>2021</v>
      </c>
      <c r="L3" s="47">
        <v>2022</v>
      </c>
      <c r="M3" s="48">
        <v>2023</v>
      </c>
      <c r="N3" s="415"/>
      <c r="O3" s="49">
        <v>2020</v>
      </c>
      <c r="P3" s="47">
        <v>2021</v>
      </c>
      <c r="Q3" s="47">
        <v>2022</v>
      </c>
      <c r="R3" s="48">
        <v>2023</v>
      </c>
      <c r="S3" s="49">
        <v>2019</v>
      </c>
      <c r="T3" s="47">
        <v>2020</v>
      </c>
      <c r="U3" s="47">
        <v>2021</v>
      </c>
      <c r="V3" s="47">
        <v>2022</v>
      </c>
      <c r="W3" s="48">
        <v>2023</v>
      </c>
      <c r="X3" s="47">
        <v>2019</v>
      </c>
      <c r="Y3" s="50">
        <v>2020</v>
      </c>
      <c r="Z3" s="45">
        <v>2021</v>
      </c>
      <c r="AA3" s="45">
        <v>2022</v>
      </c>
      <c r="AB3" s="51">
        <v>2023</v>
      </c>
      <c r="AC3" s="125">
        <v>2024</v>
      </c>
      <c r="AD3" s="82">
        <v>2019</v>
      </c>
      <c r="AE3" s="82">
        <v>2020</v>
      </c>
      <c r="AF3" s="82">
        <v>2021</v>
      </c>
      <c r="AG3" s="82">
        <v>2122</v>
      </c>
      <c r="AH3" s="82">
        <v>2023</v>
      </c>
      <c r="AI3" s="51">
        <v>2024</v>
      </c>
      <c r="AJ3" s="50">
        <v>2019</v>
      </c>
      <c r="AK3" s="45">
        <v>2020</v>
      </c>
      <c r="AL3" s="45">
        <v>2021</v>
      </c>
      <c r="AM3" s="45">
        <v>2022</v>
      </c>
      <c r="AN3" s="45">
        <v>2023</v>
      </c>
      <c r="AO3" s="45">
        <v>2024</v>
      </c>
      <c r="AP3" s="45">
        <v>2019</v>
      </c>
      <c r="AQ3" s="45">
        <v>2020</v>
      </c>
      <c r="AR3" s="45">
        <v>2021</v>
      </c>
      <c r="AS3" s="45">
        <v>2022</v>
      </c>
      <c r="AT3" s="45">
        <v>2023</v>
      </c>
      <c r="AU3" s="51">
        <v>2024</v>
      </c>
      <c r="AV3" s="46">
        <v>2019</v>
      </c>
      <c r="AW3" s="46">
        <v>2020</v>
      </c>
      <c r="AX3" s="46">
        <v>2021</v>
      </c>
      <c r="AY3" s="46">
        <v>2022</v>
      </c>
      <c r="AZ3" s="46">
        <v>2023</v>
      </c>
      <c r="BA3" s="51">
        <v>2024</v>
      </c>
      <c r="BB3" s="46">
        <v>2019</v>
      </c>
      <c r="BC3" s="46">
        <v>2020</v>
      </c>
      <c r="BD3" s="46">
        <v>2021</v>
      </c>
      <c r="BE3" s="46">
        <v>2022</v>
      </c>
      <c r="BF3" s="46">
        <v>2023</v>
      </c>
      <c r="BG3" s="45">
        <v>2024</v>
      </c>
      <c r="BH3" s="45">
        <v>2019</v>
      </c>
      <c r="BI3" s="45">
        <v>2020</v>
      </c>
      <c r="BJ3" s="45">
        <v>2021</v>
      </c>
      <c r="BK3" s="45">
        <v>2022</v>
      </c>
      <c r="BL3" s="45">
        <v>2023</v>
      </c>
      <c r="BM3" s="426">
        <v>2024</v>
      </c>
      <c r="BN3" s="360">
        <v>2020</v>
      </c>
      <c r="BO3" s="360">
        <v>2021</v>
      </c>
      <c r="BP3" s="360">
        <v>2022</v>
      </c>
      <c r="BQ3" s="360">
        <v>2023</v>
      </c>
      <c r="BR3" s="424">
        <v>2024</v>
      </c>
    </row>
    <row r="4" spans="1:70" s="4" customFormat="1" x14ac:dyDescent="0.3">
      <c r="A4" s="4">
        <v>1</v>
      </c>
      <c r="B4" s="52" t="s">
        <v>9</v>
      </c>
      <c r="C4" s="4">
        <v>378200</v>
      </c>
      <c r="D4" s="4">
        <v>349404.65310549637</v>
      </c>
      <c r="E4" s="4">
        <v>360599.40704362903</v>
      </c>
      <c r="F4" s="4">
        <v>360000</v>
      </c>
      <c r="G4" s="30">
        <v>361650.10472026851</v>
      </c>
      <c r="H4" s="30">
        <v>397008</v>
      </c>
      <c r="I4" s="414">
        <v>370351</v>
      </c>
      <c r="J4" s="4">
        <v>372144</v>
      </c>
      <c r="K4" s="4">
        <v>356644</v>
      </c>
      <c r="L4" s="4">
        <v>353267</v>
      </c>
      <c r="M4" s="414">
        <v>407606</v>
      </c>
      <c r="N4" s="92">
        <v>297970</v>
      </c>
      <c r="O4" s="414">
        <v>137163</v>
      </c>
      <c r="P4" s="4">
        <v>181944</v>
      </c>
      <c r="Q4" s="4">
        <v>191143</v>
      </c>
      <c r="R4" s="30">
        <v>191143</v>
      </c>
      <c r="S4" s="18"/>
      <c r="W4" s="30"/>
      <c r="X4" s="34"/>
      <c r="Y4" s="33">
        <v>1842758</v>
      </c>
      <c r="Z4" s="11">
        <v>1850000</v>
      </c>
      <c r="AA4" s="11">
        <v>1850000</v>
      </c>
      <c r="AB4" s="53">
        <v>1942237</v>
      </c>
      <c r="AC4" s="40">
        <v>1942237</v>
      </c>
      <c r="AD4" s="419">
        <v>1130785.861</v>
      </c>
      <c r="AE4" s="34">
        <v>1004997.1610000001</v>
      </c>
      <c r="AF4" s="34">
        <v>1040157.203</v>
      </c>
      <c r="AG4" s="34">
        <v>1014144.7330000001</v>
      </c>
      <c r="AH4" s="419">
        <v>982643.37</v>
      </c>
      <c r="AI4" s="372">
        <v>993575.05999999994</v>
      </c>
      <c r="AJ4" s="18">
        <v>41556</v>
      </c>
      <c r="AK4" s="4">
        <v>33700</v>
      </c>
      <c r="AL4" s="4">
        <v>33700</v>
      </c>
      <c r="AM4" s="4">
        <v>33700</v>
      </c>
      <c r="AN4" s="90">
        <v>33700</v>
      </c>
      <c r="AO4" s="92">
        <v>33700</v>
      </c>
      <c r="AP4" s="4">
        <v>946923</v>
      </c>
      <c r="AQ4" s="4">
        <v>898242</v>
      </c>
      <c r="AR4" s="4">
        <v>892322</v>
      </c>
      <c r="AS4" s="4">
        <v>911206</v>
      </c>
      <c r="AT4" s="4">
        <v>905328</v>
      </c>
      <c r="AU4" s="30">
        <v>867125</v>
      </c>
      <c r="AV4" s="75">
        <v>416031</v>
      </c>
      <c r="AW4" s="75">
        <v>416031</v>
      </c>
      <c r="AX4" s="75">
        <v>344437</v>
      </c>
      <c r="AY4" s="75">
        <v>331379</v>
      </c>
      <c r="AZ4" s="75">
        <v>326502</v>
      </c>
      <c r="BA4" s="76">
        <v>307142</v>
      </c>
      <c r="BB4" s="75">
        <v>1403657</v>
      </c>
      <c r="BC4" s="75">
        <v>1312609</v>
      </c>
      <c r="BD4" s="75">
        <v>1241143</v>
      </c>
      <c r="BE4" s="75">
        <v>1159100</v>
      </c>
      <c r="BF4" s="422">
        <v>1211386</v>
      </c>
      <c r="BG4" s="76">
        <v>1294801</v>
      </c>
      <c r="BH4" s="4">
        <v>561583</v>
      </c>
      <c r="BI4" s="4">
        <v>563986</v>
      </c>
      <c r="BJ4" s="4">
        <v>563986</v>
      </c>
      <c r="BK4" s="4">
        <v>555950</v>
      </c>
      <c r="BL4" s="414">
        <v>551805</v>
      </c>
      <c r="BM4" s="373">
        <v>551005</v>
      </c>
      <c r="BN4" s="428">
        <v>137163</v>
      </c>
      <c r="BO4" s="428">
        <v>181944</v>
      </c>
      <c r="BP4" s="428">
        <v>191143</v>
      </c>
      <c r="BQ4" s="428">
        <v>191143</v>
      </c>
      <c r="BR4" s="373">
        <v>175287</v>
      </c>
    </row>
    <row r="5" spans="1:70" s="4" customFormat="1" x14ac:dyDescent="0.3">
      <c r="A5" s="4">
        <v>2</v>
      </c>
      <c r="B5" s="52" t="s">
        <v>10</v>
      </c>
      <c r="C5" s="4">
        <v>104000000</v>
      </c>
      <c r="D5" s="4">
        <v>94741976.905028135</v>
      </c>
      <c r="E5" s="4">
        <v>95882576.299500942</v>
      </c>
      <c r="F5" s="4">
        <v>117563953.75251041</v>
      </c>
      <c r="G5" s="30">
        <v>123978076.85516992</v>
      </c>
      <c r="H5" s="30">
        <v>142533774.10933942</v>
      </c>
      <c r="I5" s="414">
        <v>32626771</v>
      </c>
      <c r="J5" s="4">
        <v>32550248</v>
      </c>
      <c r="K5" s="4">
        <v>31821546</v>
      </c>
      <c r="L5" s="4">
        <v>32120697</v>
      </c>
      <c r="M5" s="414">
        <v>29444484</v>
      </c>
      <c r="N5" s="30">
        <v>28925010</v>
      </c>
      <c r="O5" s="414">
        <v>13884397</v>
      </c>
      <c r="P5" s="4">
        <v>19213336</v>
      </c>
      <c r="Q5" s="4">
        <v>20308017</v>
      </c>
      <c r="R5" s="30">
        <v>20308017</v>
      </c>
      <c r="S5" s="18"/>
      <c r="W5" s="30"/>
      <c r="X5" s="34"/>
      <c r="Y5" s="33">
        <v>247890837</v>
      </c>
      <c r="Z5" s="11">
        <v>245000000</v>
      </c>
      <c r="AA5" s="11">
        <v>245000000</v>
      </c>
      <c r="AB5" s="53">
        <v>419523192</v>
      </c>
      <c r="AC5" s="40">
        <v>419523192</v>
      </c>
      <c r="AD5" s="419">
        <v>177965655.75799999</v>
      </c>
      <c r="AE5" s="34">
        <v>165383958.85799998</v>
      </c>
      <c r="AF5" s="34">
        <v>176429102.99700001</v>
      </c>
      <c r="AG5" s="34">
        <v>174220060.03099999</v>
      </c>
      <c r="AH5" s="419">
        <v>171591533.14999998</v>
      </c>
      <c r="AI5" s="372">
        <v>183332246</v>
      </c>
      <c r="AJ5" s="18">
        <v>1104240</v>
      </c>
      <c r="AK5" s="4">
        <v>775100</v>
      </c>
      <c r="AL5" s="4">
        <v>775100</v>
      </c>
      <c r="AM5" s="4">
        <v>775100</v>
      </c>
      <c r="AN5" s="414">
        <v>775100</v>
      </c>
      <c r="AO5" s="30">
        <v>775100</v>
      </c>
      <c r="AP5" s="4">
        <v>105189717</v>
      </c>
      <c r="AQ5" s="4">
        <v>99704643</v>
      </c>
      <c r="AR5" s="4">
        <v>95612640</v>
      </c>
      <c r="AS5" s="4">
        <v>97542876</v>
      </c>
      <c r="AT5" s="414">
        <v>96912303</v>
      </c>
      <c r="AU5" s="30">
        <v>92620674</v>
      </c>
      <c r="AV5" s="75">
        <v>81061691.719999999</v>
      </c>
      <c r="AW5" s="75">
        <v>81061691.719999999</v>
      </c>
      <c r="AX5" s="75">
        <v>70537373.719999999</v>
      </c>
      <c r="AY5" s="75">
        <v>68617847.719999999</v>
      </c>
      <c r="AZ5" s="75">
        <v>64778795.719999999</v>
      </c>
      <c r="BA5" s="76">
        <v>79291903</v>
      </c>
      <c r="BB5" s="75">
        <v>168438878</v>
      </c>
      <c r="BC5" s="75">
        <v>484830045</v>
      </c>
      <c r="BD5" s="75">
        <v>148937160</v>
      </c>
      <c r="BE5" s="75">
        <v>139092000</v>
      </c>
      <c r="BF5" s="75">
        <v>145366270</v>
      </c>
      <c r="BG5" s="76">
        <v>155376146</v>
      </c>
      <c r="BH5" s="4">
        <v>106102796</v>
      </c>
      <c r="BI5" s="4">
        <v>118717152</v>
      </c>
      <c r="BJ5" s="4">
        <v>118717152</v>
      </c>
      <c r="BK5" s="4">
        <v>116700000</v>
      </c>
      <c r="BL5" s="414">
        <v>117135059</v>
      </c>
      <c r="BM5" s="373">
        <v>117135059</v>
      </c>
      <c r="BN5" s="428">
        <v>13884397</v>
      </c>
      <c r="BO5" s="428">
        <v>19213336</v>
      </c>
      <c r="BP5" s="428">
        <v>20308017</v>
      </c>
      <c r="BQ5" s="428">
        <v>20308017</v>
      </c>
      <c r="BR5" s="373">
        <v>20859153</v>
      </c>
    </row>
    <row r="6" spans="1:70" s="4" customFormat="1" x14ac:dyDescent="0.3">
      <c r="A6" s="4">
        <v>3</v>
      </c>
      <c r="B6" s="52" t="s">
        <v>70</v>
      </c>
      <c r="C6" s="4">
        <v>4352563.3798450492</v>
      </c>
      <c r="D6" s="4">
        <v>2624989.3299335083</v>
      </c>
      <c r="E6" s="4">
        <v>2597503.6218678132</v>
      </c>
      <c r="F6" s="4">
        <v>3555264.2084590951</v>
      </c>
      <c r="G6" s="30">
        <v>4005131.6804418154</v>
      </c>
      <c r="H6" s="30">
        <v>4018071.0554529638</v>
      </c>
      <c r="I6" s="4">
        <v>80197</v>
      </c>
      <c r="J6" s="4">
        <v>58430</v>
      </c>
      <c r="K6" s="4">
        <v>62942</v>
      </c>
      <c r="L6" s="4">
        <v>76021</v>
      </c>
      <c r="M6" s="414">
        <v>71232</v>
      </c>
      <c r="N6" s="30">
        <v>51311</v>
      </c>
      <c r="O6" s="4">
        <v>341897</v>
      </c>
      <c r="P6" s="4">
        <v>363329</v>
      </c>
      <c r="Q6" s="4">
        <v>381858</v>
      </c>
      <c r="R6" s="30">
        <v>459796</v>
      </c>
      <c r="S6" s="18"/>
      <c r="W6" s="30"/>
      <c r="X6" s="34"/>
      <c r="Y6" s="33">
        <v>1167000</v>
      </c>
      <c r="Z6" s="11">
        <v>1199000</v>
      </c>
      <c r="AA6" s="11">
        <v>1596000</v>
      </c>
      <c r="AB6" s="53">
        <v>1762000</v>
      </c>
      <c r="AC6" s="40">
        <v>1791000</v>
      </c>
      <c r="AD6" s="419">
        <v>673978</v>
      </c>
      <c r="AE6" s="34">
        <v>454230</v>
      </c>
      <c r="AF6" s="34">
        <v>450688.50999999995</v>
      </c>
      <c r="AG6" s="34">
        <v>565020</v>
      </c>
      <c r="AH6" s="419">
        <v>537879</v>
      </c>
      <c r="AI6" s="372">
        <v>574682</v>
      </c>
      <c r="AJ6" s="18">
        <v>57390</v>
      </c>
      <c r="AK6" s="4">
        <v>38276</v>
      </c>
      <c r="AL6" s="4">
        <v>50937</v>
      </c>
      <c r="AM6" s="4">
        <v>37429</v>
      </c>
      <c r="AN6" s="414">
        <v>37277.5</v>
      </c>
      <c r="AO6" s="30">
        <v>38584.224999999999</v>
      </c>
      <c r="AP6" s="4">
        <v>793800</v>
      </c>
      <c r="AQ6" s="4">
        <v>481787</v>
      </c>
      <c r="AR6" s="4">
        <v>488932</v>
      </c>
      <c r="AS6" s="4">
        <v>535148</v>
      </c>
      <c r="AT6" s="414">
        <v>545861</v>
      </c>
      <c r="AU6" s="30">
        <v>506708</v>
      </c>
      <c r="AV6" s="75">
        <v>470112</v>
      </c>
      <c r="AW6" s="75">
        <v>323424</v>
      </c>
      <c r="AX6" s="75">
        <v>288095</v>
      </c>
      <c r="AY6" s="75">
        <v>370066</v>
      </c>
      <c r="AZ6" s="75">
        <v>440194</v>
      </c>
      <c r="BA6" s="76">
        <v>404798</v>
      </c>
      <c r="BB6" s="75">
        <v>501051</v>
      </c>
      <c r="BC6" s="75">
        <v>463641</v>
      </c>
      <c r="BD6" s="75">
        <v>429568</v>
      </c>
      <c r="BE6" s="75">
        <v>392478</v>
      </c>
      <c r="BF6" s="75">
        <v>436287</v>
      </c>
      <c r="BG6" s="76">
        <v>457644</v>
      </c>
      <c r="BH6" s="4">
        <v>272360</v>
      </c>
      <c r="BI6" s="4">
        <v>192641</v>
      </c>
      <c r="BJ6" s="4">
        <v>204480</v>
      </c>
      <c r="BK6" s="4">
        <v>260615</v>
      </c>
      <c r="BL6" s="414">
        <v>277423</v>
      </c>
      <c r="BM6" s="373">
        <v>289813</v>
      </c>
      <c r="BN6" s="428">
        <v>341897</v>
      </c>
      <c r="BO6" s="428">
        <v>363329</v>
      </c>
      <c r="BP6" s="428">
        <v>381858</v>
      </c>
      <c r="BQ6" s="428">
        <v>459796</v>
      </c>
      <c r="BR6" s="373">
        <v>401279</v>
      </c>
    </row>
    <row r="7" spans="1:70" s="4" customFormat="1" x14ac:dyDescent="0.3">
      <c r="A7" s="4">
        <v>4</v>
      </c>
      <c r="B7" s="77" t="s">
        <v>12</v>
      </c>
      <c r="C7" s="4">
        <v>25673479.745581977</v>
      </c>
      <c r="D7" s="4">
        <v>15634258.347663153</v>
      </c>
      <c r="E7" s="4">
        <v>15097973.745671535</v>
      </c>
      <c r="F7" s="4">
        <v>21000000</v>
      </c>
      <c r="G7" s="30">
        <v>23542551.827004347</v>
      </c>
      <c r="H7" s="30">
        <v>22435340.071534861</v>
      </c>
      <c r="I7" s="4">
        <v>8985676</v>
      </c>
      <c r="J7" s="4">
        <v>6391002</v>
      </c>
      <c r="K7" s="4">
        <v>6667341</v>
      </c>
      <c r="L7" s="4">
        <v>5015453</v>
      </c>
      <c r="M7" s="414">
        <v>3987291</v>
      </c>
      <c r="N7" s="30">
        <v>4441271</v>
      </c>
      <c r="O7" s="4">
        <v>1041133</v>
      </c>
      <c r="P7" s="4">
        <v>1103480</v>
      </c>
      <c r="Q7" s="4">
        <v>1162375</v>
      </c>
      <c r="R7" s="30">
        <v>1293544</v>
      </c>
      <c r="S7" s="18"/>
      <c r="W7" s="30"/>
      <c r="X7" s="34"/>
      <c r="Y7" s="33">
        <v>57907186</v>
      </c>
      <c r="Z7" s="11">
        <v>69723041</v>
      </c>
      <c r="AA7" s="11">
        <v>49083983</v>
      </c>
      <c r="AB7" s="53">
        <v>54343063</v>
      </c>
      <c r="AC7" s="40">
        <v>55234400</v>
      </c>
      <c r="AD7" s="419">
        <v>49016767.396668091</v>
      </c>
      <c r="AE7" s="34">
        <v>32532946.447702259</v>
      </c>
      <c r="AF7" s="34">
        <v>33033297.812979862</v>
      </c>
      <c r="AG7" s="34">
        <v>41130675.617275782</v>
      </c>
      <c r="AH7" s="419">
        <v>43901661.651000001</v>
      </c>
      <c r="AI7" s="372">
        <v>46905521</v>
      </c>
      <c r="AJ7" s="18">
        <v>154412</v>
      </c>
      <c r="AK7" s="4">
        <v>80380</v>
      </c>
      <c r="AL7" s="4">
        <v>106968</v>
      </c>
      <c r="AM7" s="4">
        <v>78600.900000000009</v>
      </c>
      <c r="AN7" s="414">
        <v>78282.75</v>
      </c>
      <c r="AO7" s="30">
        <v>81026.872499999998</v>
      </c>
      <c r="AP7" s="4">
        <v>16233621</v>
      </c>
      <c r="AQ7" s="4">
        <v>11328957</v>
      </c>
      <c r="AR7" s="4">
        <v>11524422</v>
      </c>
      <c r="AS7" s="4">
        <v>12554645</v>
      </c>
      <c r="AT7" s="414">
        <v>12480496</v>
      </c>
      <c r="AU7" s="30">
        <v>11329848</v>
      </c>
      <c r="AV7" s="75">
        <v>8409462.0592345074</v>
      </c>
      <c r="AW7" s="75">
        <v>5728154.7311664643</v>
      </c>
      <c r="AX7" s="75">
        <v>5074839.6148238154</v>
      </c>
      <c r="AY7" s="75">
        <v>5592554.5565006081</v>
      </c>
      <c r="AZ7" s="75">
        <v>5889536</v>
      </c>
      <c r="BA7" s="76">
        <v>4927354</v>
      </c>
      <c r="BB7" s="75">
        <v>22547295</v>
      </c>
      <c r="BC7" s="75">
        <v>20863845</v>
      </c>
      <c r="BD7" s="75">
        <v>19330560</v>
      </c>
      <c r="BE7" s="75">
        <v>17661510</v>
      </c>
      <c r="BF7" s="75">
        <v>19632915</v>
      </c>
      <c r="BG7" s="76">
        <v>20593980</v>
      </c>
      <c r="BH7" s="4">
        <v>24967618</v>
      </c>
      <c r="BI7" s="4">
        <v>12984122</v>
      </c>
      <c r="BJ7" s="4">
        <v>16643099</v>
      </c>
      <c r="BK7" s="4">
        <v>24783282</v>
      </c>
      <c r="BL7" s="414">
        <v>26647763</v>
      </c>
      <c r="BM7" s="373">
        <v>24933215</v>
      </c>
      <c r="BN7" s="428">
        <v>1041133</v>
      </c>
      <c r="BO7" s="428">
        <v>1103480</v>
      </c>
      <c r="BP7" s="428">
        <v>1162375</v>
      </c>
      <c r="BQ7" s="428">
        <v>1293544</v>
      </c>
      <c r="BR7" s="373">
        <v>1203837</v>
      </c>
    </row>
    <row r="8" spans="1:70" s="4" customFormat="1" x14ac:dyDescent="0.3">
      <c r="A8" s="4">
        <v>5</v>
      </c>
      <c r="B8" s="77" t="s">
        <v>13</v>
      </c>
      <c r="C8" s="4">
        <v>144977887</v>
      </c>
      <c r="D8" s="4">
        <v>132586075.99816298</v>
      </c>
      <c r="E8" s="4">
        <v>134059706.40957886</v>
      </c>
      <c r="F8" s="4">
        <v>147000000</v>
      </c>
      <c r="G8" s="30">
        <v>151087890.66469038</v>
      </c>
      <c r="H8" s="30">
        <v>154664914.10933942</v>
      </c>
      <c r="I8" s="17" t="s">
        <v>27</v>
      </c>
      <c r="J8" s="17" t="s">
        <v>27</v>
      </c>
      <c r="K8" s="17" t="s">
        <v>27</v>
      </c>
      <c r="L8" s="17" t="s">
        <v>27</v>
      </c>
      <c r="M8" s="417" t="s">
        <v>27</v>
      </c>
      <c r="N8" s="54" t="s">
        <v>27</v>
      </c>
      <c r="O8" s="4">
        <v>103603458</v>
      </c>
      <c r="P8" s="4">
        <v>146861904</v>
      </c>
      <c r="Q8" s="4">
        <v>155748138</v>
      </c>
      <c r="R8" s="30">
        <v>155748138</v>
      </c>
      <c r="S8" s="18"/>
      <c r="W8" s="30"/>
      <c r="X8" s="34"/>
      <c r="Y8" s="33">
        <v>247890837</v>
      </c>
      <c r="Z8" s="11">
        <v>245000000</v>
      </c>
      <c r="AA8" s="11">
        <v>245000000</v>
      </c>
      <c r="AB8" s="53">
        <v>419523192</v>
      </c>
      <c r="AC8" s="40">
        <v>419523192</v>
      </c>
      <c r="AD8" s="419">
        <f t="shared" ref="AD8:AO8" si="0">AD5</f>
        <v>177965655.75799999</v>
      </c>
      <c r="AE8" s="34">
        <f t="shared" si="0"/>
        <v>165383958.85799998</v>
      </c>
      <c r="AF8" s="34">
        <f t="shared" si="0"/>
        <v>176429102.99700001</v>
      </c>
      <c r="AG8" s="34">
        <f t="shared" si="0"/>
        <v>174220060.03099999</v>
      </c>
      <c r="AH8" s="419">
        <f>AH5</f>
        <v>171591533.14999998</v>
      </c>
      <c r="AI8" s="372">
        <v>183332246</v>
      </c>
      <c r="AJ8" s="18">
        <f t="shared" si="0"/>
        <v>1104240</v>
      </c>
      <c r="AK8" s="4">
        <f t="shared" si="0"/>
        <v>775100</v>
      </c>
      <c r="AL8" s="4">
        <f t="shared" si="0"/>
        <v>775100</v>
      </c>
      <c r="AM8" s="4">
        <f t="shared" si="0"/>
        <v>775100</v>
      </c>
      <c r="AN8" s="414">
        <f>AN5</f>
        <v>775100</v>
      </c>
      <c r="AO8" s="30">
        <v>775100</v>
      </c>
      <c r="AP8" s="4">
        <v>105189717</v>
      </c>
      <c r="AQ8" s="4">
        <v>99704643</v>
      </c>
      <c r="AR8" s="4">
        <v>95612640</v>
      </c>
      <c r="AS8" s="4">
        <v>97542876</v>
      </c>
      <c r="AT8" s="414">
        <v>96912303</v>
      </c>
      <c r="AU8" s="30">
        <v>92620674</v>
      </c>
      <c r="AV8" s="75">
        <f>+AV5</f>
        <v>81061691.719999999</v>
      </c>
      <c r="AW8" s="75">
        <f>+AW5</f>
        <v>81061691.719999999</v>
      </c>
      <c r="AX8" s="75">
        <f>+AX5</f>
        <v>70537373.719999999</v>
      </c>
      <c r="AY8" s="75">
        <f>+AY5</f>
        <v>68617847.719999999</v>
      </c>
      <c r="AZ8" s="75">
        <f>+AZ5</f>
        <v>64778795.719999999</v>
      </c>
      <c r="BA8" s="76">
        <v>79291903</v>
      </c>
      <c r="BB8" s="75"/>
      <c r="BC8" s="75"/>
      <c r="BD8" s="75"/>
      <c r="BE8" s="75"/>
      <c r="BF8" s="75"/>
      <c r="BG8" s="76"/>
      <c r="BH8" s="4">
        <v>106102796</v>
      </c>
      <c r="BI8" s="4">
        <v>118717152</v>
      </c>
      <c r="BJ8" s="4">
        <v>118717152</v>
      </c>
      <c r="BK8" s="4">
        <v>118717152</v>
      </c>
      <c r="BL8" s="414">
        <v>117135059</v>
      </c>
      <c r="BM8" s="373">
        <v>117135059</v>
      </c>
      <c r="BN8" s="428">
        <v>103603458</v>
      </c>
      <c r="BO8" s="428">
        <v>146861904</v>
      </c>
      <c r="BP8" s="428">
        <v>155748138</v>
      </c>
      <c r="BQ8" s="428">
        <v>155748138</v>
      </c>
      <c r="BR8" s="373">
        <v>169327242</v>
      </c>
    </row>
    <row r="9" spans="1:70" s="4" customFormat="1" x14ac:dyDescent="0.3">
      <c r="A9" s="4">
        <v>6</v>
      </c>
      <c r="B9" s="77" t="s">
        <v>14</v>
      </c>
      <c r="C9" s="4">
        <v>434929.99999999994</v>
      </c>
      <c r="D9" s="4">
        <v>401815.35107132077</v>
      </c>
      <c r="E9" s="4">
        <v>414689.31810017332</v>
      </c>
      <c r="F9" s="4">
        <v>414000</v>
      </c>
      <c r="G9" s="30">
        <v>415897.62042830879</v>
      </c>
      <c r="H9" s="30">
        <v>456559.19999999995</v>
      </c>
      <c r="I9" s="4">
        <f>SUM(I4)</f>
        <v>370351</v>
      </c>
      <c r="J9" s="4">
        <f>SUM(J4)</f>
        <v>372144</v>
      </c>
      <c r="K9" s="4">
        <f>SUM(K4)</f>
        <v>356644</v>
      </c>
      <c r="L9" s="4">
        <f>SUM(L4)</f>
        <v>353267</v>
      </c>
      <c r="M9" s="414">
        <f>SUM(M4)</f>
        <v>407606</v>
      </c>
      <c r="N9" s="30">
        <v>297970</v>
      </c>
      <c r="O9" s="4">
        <v>157737</v>
      </c>
      <c r="P9" s="4">
        <v>209236</v>
      </c>
      <c r="Q9" s="4">
        <v>219814</v>
      </c>
      <c r="R9" s="30">
        <v>219814</v>
      </c>
      <c r="S9" s="18"/>
      <c r="W9" s="30"/>
      <c r="X9" s="38"/>
      <c r="Y9" s="33">
        <f>Y4*1.15</f>
        <v>2119171.6999999997</v>
      </c>
      <c r="Z9" s="11">
        <f>Z4*1.15</f>
        <v>2127500</v>
      </c>
      <c r="AA9" s="11">
        <f>AA4*1.15</f>
        <v>2127500</v>
      </c>
      <c r="AB9" s="53">
        <f>AB4*1.15</f>
        <v>2233572.5499999998</v>
      </c>
      <c r="AC9" s="74">
        <v>2233572.5499999998</v>
      </c>
      <c r="AD9" s="38">
        <f>AD4</f>
        <v>1130785.861</v>
      </c>
      <c r="AE9" s="38">
        <f>AE4</f>
        <v>1004997.1610000001</v>
      </c>
      <c r="AF9" s="38">
        <f>AF4</f>
        <v>1040157.203</v>
      </c>
      <c r="AG9" s="38">
        <f>AG4</f>
        <v>1014144.7330000001</v>
      </c>
      <c r="AH9" s="38">
        <f>AH4</f>
        <v>982643.37</v>
      </c>
      <c r="AI9" s="372">
        <v>1142611.3189999999</v>
      </c>
      <c r="AJ9" s="18">
        <f>AJ4*1.15</f>
        <v>47789.399999999994</v>
      </c>
      <c r="AK9" s="4">
        <f>AK4*1.15</f>
        <v>38755</v>
      </c>
      <c r="AL9" s="4">
        <f>AL4*1.15</f>
        <v>38755</v>
      </c>
      <c r="AM9" s="4">
        <f>AM4*1.15</f>
        <v>38755</v>
      </c>
      <c r="AN9" s="414">
        <f>AN4*1.15</f>
        <v>38755</v>
      </c>
      <c r="AO9" s="30">
        <v>38755</v>
      </c>
      <c r="AP9" s="4">
        <v>946923</v>
      </c>
      <c r="AQ9" s="4">
        <v>898242</v>
      </c>
      <c r="AR9" s="4">
        <v>892322</v>
      </c>
      <c r="AS9" s="4">
        <v>911206</v>
      </c>
      <c r="AT9" s="414">
        <v>905328</v>
      </c>
      <c r="AU9" s="30">
        <v>867125</v>
      </c>
      <c r="AV9" s="75">
        <f>+AV4</f>
        <v>416031</v>
      </c>
      <c r="AW9" s="75">
        <f>+AW4</f>
        <v>416031</v>
      </c>
      <c r="AX9" s="75">
        <f>+AX4</f>
        <v>344437</v>
      </c>
      <c r="AY9" s="75">
        <f>+AY4</f>
        <v>331379</v>
      </c>
      <c r="AZ9" s="75">
        <f>+AZ4</f>
        <v>326502</v>
      </c>
      <c r="BA9" s="76">
        <v>307142</v>
      </c>
      <c r="BB9" s="75"/>
      <c r="BC9" s="75"/>
      <c r="BD9" s="75"/>
      <c r="BE9" s="75"/>
      <c r="BF9" s="75"/>
      <c r="BG9" s="76"/>
      <c r="BH9" s="4">
        <v>561583</v>
      </c>
      <c r="BI9" s="4">
        <v>563986</v>
      </c>
      <c r="BJ9" s="4">
        <v>563986</v>
      </c>
      <c r="BK9" s="4">
        <v>555950</v>
      </c>
      <c r="BL9" s="414">
        <v>551805</v>
      </c>
      <c r="BM9" s="373">
        <v>551005</v>
      </c>
      <c r="BN9" s="428">
        <v>157737</v>
      </c>
      <c r="BO9" s="428">
        <v>209236</v>
      </c>
      <c r="BP9" s="428">
        <v>219814</v>
      </c>
      <c r="BQ9" s="428">
        <v>219814</v>
      </c>
      <c r="BR9" s="373">
        <v>201580</v>
      </c>
    </row>
    <row r="10" spans="1:70" s="4" customFormat="1" x14ac:dyDescent="0.3">
      <c r="A10" s="4">
        <v>6</v>
      </c>
      <c r="B10" s="52" t="s">
        <v>65</v>
      </c>
      <c r="C10" s="4">
        <v>124589640.45065281</v>
      </c>
      <c r="D10" s="4">
        <v>165146032.42457849</v>
      </c>
      <c r="E10" s="4">
        <v>177576135.83583185</v>
      </c>
      <c r="F10" s="4">
        <v>149354941.58445421</v>
      </c>
      <c r="G10" s="30">
        <v>176086728.30584818</v>
      </c>
      <c r="H10" s="30">
        <v>220947525.52951899</v>
      </c>
      <c r="J10" s="4">
        <v>167142007</v>
      </c>
      <c r="K10" s="4">
        <v>170292707</v>
      </c>
      <c r="L10" s="4">
        <v>237860317</v>
      </c>
      <c r="M10" s="414">
        <v>234224024</v>
      </c>
      <c r="N10" s="30">
        <v>238151517</v>
      </c>
      <c r="O10" s="4">
        <v>33316751</v>
      </c>
      <c r="P10" s="4">
        <v>30192136</v>
      </c>
      <c r="Q10" s="4">
        <v>43417468</v>
      </c>
      <c r="R10" s="30">
        <v>48319002</v>
      </c>
      <c r="S10" s="18"/>
      <c r="W10" s="30"/>
      <c r="X10" s="34"/>
      <c r="Y10" s="33">
        <v>337647140</v>
      </c>
      <c r="Z10" s="11">
        <v>293650615</v>
      </c>
      <c r="AA10" s="11">
        <v>317497581</v>
      </c>
      <c r="AB10" s="53">
        <v>384020890</v>
      </c>
      <c r="AC10" s="40">
        <v>400644026</v>
      </c>
      <c r="AD10" s="419">
        <v>110792000</v>
      </c>
      <c r="AE10" s="34">
        <v>140709000</v>
      </c>
      <c r="AF10" s="34">
        <v>142469000</v>
      </c>
      <c r="AG10" s="34">
        <v>148990000</v>
      </c>
      <c r="AH10" s="419">
        <v>218996000</v>
      </c>
      <c r="AI10" s="372">
        <v>223403764</v>
      </c>
      <c r="AJ10" s="18"/>
      <c r="AN10" s="414"/>
      <c r="AO10" s="30"/>
      <c r="AU10" s="30"/>
      <c r="AV10" s="75">
        <v>126949000</v>
      </c>
      <c r="AW10" s="75">
        <v>148353000</v>
      </c>
      <c r="AX10" s="75">
        <v>133075000</v>
      </c>
      <c r="AY10" s="75">
        <v>139475000</v>
      </c>
      <c r="AZ10" s="75">
        <v>155546000</v>
      </c>
      <c r="BA10" s="76">
        <v>179885728</v>
      </c>
      <c r="BB10" s="75">
        <v>436628693</v>
      </c>
      <c r="BC10" s="75">
        <v>429929353</v>
      </c>
      <c r="BD10" s="75">
        <v>411519337</v>
      </c>
      <c r="BE10" s="75">
        <v>460845180</v>
      </c>
      <c r="BF10" s="75">
        <v>526337182</v>
      </c>
      <c r="BG10" s="76">
        <v>596190054</v>
      </c>
      <c r="BH10" s="4">
        <v>101545189.94622999</v>
      </c>
      <c r="BI10" s="4">
        <v>69895626.203961894</v>
      </c>
      <c r="BJ10" s="4">
        <v>54741395.6662957</v>
      </c>
      <c r="BK10" s="4">
        <v>48240744.2607852</v>
      </c>
      <c r="BL10" s="414">
        <v>100728776.31445399</v>
      </c>
      <c r="BM10" s="373">
        <v>112321255</v>
      </c>
      <c r="BN10" s="428">
        <v>33316751</v>
      </c>
      <c r="BO10" s="428">
        <v>30192136</v>
      </c>
      <c r="BP10" s="428">
        <v>43417468</v>
      </c>
      <c r="BQ10" s="428">
        <v>48319002</v>
      </c>
      <c r="BR10" s="373"/>
    </row>
    <row r="11" spans="1:70" s="4" customFormat="1" x14ac:dyDescent="0.3">
      <c r="A11" s="4">
        <v>7</v>
      </c>
      <c r="B11" s="4" t="s">
        <v>66</v>
      </c>
      <c r="C11" s="4">
        <v>1000000</v>
      </c>
      <c r="D11" s="4">
        <v>1000000</v>
      </c>
      <c r="E11" s="4">
        <v>1000000</v>
      </c>
      <c r="F11" s="4">
        <v>1000000</v>
      </c>
      <c r="G11" s="30">
        <v>1000000</v>
      </c>
      <c r="H11" s="30">
        <v>1000000</v>
      </c>
      <c r="I11" s="4">
        <v>0</v>
      </c>
      <c r="J11" s="4">
        <v>0</v>
      </c>
      <c r="K11" s="4">
        <v>0</v>
      </c>
      <c r="L11" s="4">
        <v>0</v>
      </c>
      <c r="M11" s="414">
        <v>0</v>
      </c>
      <c r="N11" s="30">
        <v>0</v>
      </c>
      <c r="R11" s="30"/>
      <c r="S11" s="18"/>
      <c r="W11" s="30"/>
      <c r="X11" s="34"/>
      <c r="Y11" s="33"/>
      <c r="Z11" s="11"/>
      <c r="AA11" s="11"/>
      <c r="AB11" s="53"/>
      <c r="AC11" s="53">
        <v>8039293</v>
      </c>
      <c r="AD11" s="419"/>
      <c r="AE11" s="34"/>
      <c r="AF11" s="34"/>
      <c r="AG11" s="34"/>
      <c r="AH11" s="419"/>
      <c r="AI11" s="40"/>
      <c r="AJ11" s="18"/>
      <c r="AN11" s="414"/>
      <c r="AO11" s="30"/>
      <c r="AU11" s="30"/>
      <c r="AV11" s="75"/>
      <c r="AW11" s="75"/>
      <c r="AX11" s="75"/>
      <c r="AY11" s="75"/>
      <c r="AZ11" s="75"/>
      <c r="BA11" s="76">
        <v>0</v>
      </c>
      <c r="BB11" s="75"/>
      <c r="BC11" s="75"/>
      <c r="BD11" s="75"/>
      <c r="BE11" s="75"/>
      <c r="BF11" s="75"/>
      <c r="BG11" s="76"/>
      <c r="BH11" s="4">
        <v>0</v>
      </c>
      <c r="BI11" s="4">
        <v>0</v>
      </c>
      <c r="BJ11" s="4">
        <v>0</v>
      </c>
      <c r="BK11" s="4">
        <v>0</v>
      </c>
      <c r="BL11" s="414">
        <v>0</v>
      </c>
      <c r="BM11" s="373">
        <v>0</v>
      </c>
      <c r="BN11" s="428"/>
      <c r="BO11" s="428"/>
      <c r="BP11" s="428"/>
      <c r="BQ11" s="428"/>
      <c r="BR11" s="373"/>
    </row>
    <row r="12" spans="1:70" s="4" customFormat="1" x14ac:dyDescent="0.3">
      <c r="B12" s="4" t="s">
        <v>17</v>
      </c>
      <c r="C12" s="4">
        <v>35073808.5</v>
      </c>
      <c r="D12" s="4">
        <v>31143438.98</v>
      </c>
      <c r="E12" s="4">
        <v>29000000</v>
      </c>
      <c r="F12" s="4">
        <v>29000000</v>
      </c>
      <c r="G12" s="30">
        <v>29000000</v>
      </c>
      <c r="H12" s="30">
        <v>29000000</v>
      </c>
      <c r="I12" s="4">
        <v>0</v>
      </c>
      <c r="J12" s="4">
        <v>2900000</v>
      </c>
      <c r="K12" s="4">
        <v>1025453</v>
      </c>
      <c r="L12" s="4">
        <v>1025453</v>
      </c>
      <c r="M12" s="414">
        <v>0</v>
      </c>
      <c r="N12" s="30">
        <v>0</v>
      </c>
      <c r="R12" s="30"/>
      <c r="W12" s="30"/>
      <c r="X12" s="34"/>
      <c r="Y12" s="33"/>
      <c r="Z12" s="11"/>
      <c r="AA12" s="11"/>
      <c r="AB12" s="53"/>
      <c r="AC12" s="53">
        <v>0</v>
      </c>
      <c r="AD12" s="419"/>
      <c r="AE12" s="34"/>
      <c r="AF12" s="34"/>
      <c r="AG12" s="34"/>
      <c r="AH12" s="419"/>
      <c r="AI12" s="40"/>
      <c r="AJ12" s="18"/>
      <c r="AN12" s="414"/>
      <c r="AO12" s="30"/>
      <c r="AU12" s="30"/>
      <c r="AV12" s="75"/>
      <c r="AW12" s="75">
        <v>18000000</v>
      </c>
      <c r="AX12" s="75">
        <v>8910000</v>
      </c>
      <c r="AY12" s="75">
        <v>8783000</v>
      </c>
      <c r="AZ12" s="421"/>
      <c r="BA12" s="13">
        <v>0</v>
      </c>
      <c r="BB12" s="19"/>
      <c r="BC12" s="19"/>
      <c r="BD12" s="19"/>
      <c r="BE12" s="19"/>
      <c r="BF12" s="421"/>
      <c r="BG12" s="13"/>
      <c r="BH12" s="4">
        <v>0</v>
      </c>
      <c r="BI12" s="4">
        <v>30200000</v>
      </c>
      <c r="BJ12" s="4">
        <v>27200000</v>
      </c>
      <c r="BK12" s="4">
        <v>29900000</v>
      </c>
      <c r="BL12" s="414">
        <v>3400000</v>
      </c>
      <c r="BM12" s="373">
        <v>3130000</v>
      </c>
      <c r="BN12" s="428"/>
      <c r="BO12" s="428"/>
      <c r="BP12" s="428"/>
      <c r="BQ12" s="428"/>
      <c r="BR12" s="373"/>
    </row>
    <row r="13" spans="1:70" s="4" customFormat="1" x14ac:dyDescent="0.3">
      <c r="B13" s="4" t="s">
        <v>67</v>
      </c>
      <c r="C13" s="4">
        <v>160663448.95065278</v>
      </c>
      <c r="D13" s="4">
        <v>197289471.40457851</v>
      </c>
      <c r="E13" s="4">
        <v>207576135.83583185</v>
      </c>
      <c r="F13" s="4">
        <v>179354941.58445421</v>
      </c>
      <c r="G13" s="30">
        <v>206086728.30584818</v>
      </c>
      <c r="H13" s="30">
        <v>250947525.52951899</v>
      </c>
      <c r="I13" s="4">
        <f>SUM(I10:I12)</f>
        <v>0</v>
      </c>
      <c r="J13" s="4">
        <f>SUM(J10:J12)</f>
        <v>170042007</v>
      </c>
      <c r="K13" s="4">
        <f>SUM(K10:K12)</f>
        <v>171318160</v>
      </c>
      <c r="L13" s="4">
        <f>SUM(L10:L12)</f>
        <v>238885770</v>
      </c>
      <c r="M13" s="414">
        <f>SUM(M10:M12)</f>
        <v>234224024</v>
      </c>
      <c r="N13" s="373"/>
      <c r="R13" s="30"/>
      <c r="W13" s="30"/>
      <c r="X13" s="34"/>
      <c r="Y13" s="33"/>
      <c r="Z13" s="11"/>
      <c r="AA13" s="11"/>
      <c r="AB13" s="53"/>
      <c r="AC13" s="53"/>
      <c r="AD13" s="419"/>
      <c r="AE13" s="34"/>
      <c r="AF13" s="34"/>
      <c r="AG13" s="34"/>
      <c r="AH13" s="419"/>
      <c r="AI13" s="40"/>
      <c r="AJ13" s="18"/>
      <c r="AN13" s="414"/>
      <c r="AO13" s="30"/>
      <c r="AU13" s="30"/>
      <c r="AZ13" s="414"/>
      <c r="BA13" s="373"/>
      <c r="BF13" s="414"/>
      <c r="BG13" s="373"/>
      <c r="BH13" s="95"/>
      <c r="BI13" s="95"/>
      <c r="BJ13" s="95"/>
      <c r="BK13" s="95"/>
      <c r="BL13" s="425"/>
      <c r="BM13" s="373"/>
      <c r="BN13" s="428"/>
      <c r="BO13" s="428"/>
      <c r="BP13" s="428"/>
      <c r="BQ13" s="428"/>
      <c r="BR13" s="373"/>
    </row>
    <row r="14" spans="1:70" s="4" customFormat="1" x14ac:dyDescent="0.3">
      <c r="B14" s="4" t="s">
        <v>18</v>
      </c>
      <c r="C14" s="4">
        <v>55099565.495466396</v>
      </c>
      <c r="D14" s="4">
        <v>29079047.151489895</v>
      </c>
      <c r="E14" s="4">
        <v>27350708.013237085</v>
      </c>
      <c r="F14" s="4">
        <v>40335786.16385673</v>
      </c>
      <c r="G14" s="30">
        <v>51068480.312091023</v>
      </c>
      <c r="H14" s="30">
        <v>49911032.234621003</v>
      </c>
      <c r="M14" s="414"/>
      <c r="N14" s="30">
        <v>0</v>
      </c>
      <c r="O14" s="4">
        <v>9834231.4814814813</v>
      </c>
      <c r="P14" s="4">
        <v>8989323.7209302336</v>
      </c>
      <c r="Q14" s="4">
        <v>7416545.5357142854</v>
      </c>
      <c r="R14" s="30">
        <v>4841519.6428571427</v>
      </c>
      <c r="W14" s="30"/>
      <c r="X14" s="34"/>
      <c r="Y14" s="33">
        <v>53839753</v>
      </c>
      <c r="Z14" s="11">
        <v>57915766</v>
      </c>
      <c r="AA14" s="11">
        <v>66324490</v>
      </c>
      <c r="AB14" s="53">
        <v>72005625</v>
      </c>
      <c r="AC14" s="53">
        <v>69156014.639999852</v>
      </c>
      <c r="AD14" s="419">
        <v>82866375.892857134</v>
      </c>
      <c r="AE14" s="34">
        <v>59285792.857142851</v>
      </c>
      <c r="AF14" s="34">
        <v>60719438.392857134</v>
      </c>
      <c r="AG14" s="34">
        <v>80836633.928571418</v>
      </c>
      <c r="AH14" s="419">
        <v>82305106.249999985</v>
      </c>
      <c r="AI14" s="40">
        <v>85769829</v>
      </c>
      <c r="AJ14" s="18">
        <v>215360</v>
      </c>
      <c r="AK14" s="4">
        <v>149439</v>
      </c>
      <c r="AL14" s="4">
        <v>138090</v>
      </c>
      <c r="AM14" s="4">
        <v>184555</v>
      </c>
      <c r="AN14" s="414">
        <v>803061</v>
      </c>
      <c r="AO14" s="30"/>
      <c r="AU14" s="30"/>
      <c r="AV14" s="75">
        <f>31287720.3+56153.6+4539.6</f>
        <v>31348413.500000004</v>
      </c>
      <c r="AW14" s="75">
        <v>23078424</v>
      </c>
      <c r="AX14" s="75">
        <v>19555134</v>
      </c>
      <c r="AY14" s="75">
        <v>23645333</v>
      </c>
      <c r="AZ14" s="75">
        <v>26625796</v>
      </c>
      <c r="BA14" s="76">
        <v>22521232</v>
      </c>
      <c r="BB14" s="75">
        <v>57360979</v>
      </c>
      <c r="BC14" s="75">
        <v>48624764</v>
      </c>
      <c r="BD14" s="75">
        <v>49254276</v>
      </c>
      <c r="BE14" s="75">
        <v>55009201</v>
      </c>
      <c r="BF14" s="75">
        <v>53183565</v>
      </c>
      <c r="BG14" s="423">
        <v>-39272177</v>
      </c>
      <c r="BH14" s="4">
        <v>61700000</v>
      </c>
      <c r="BI14" s="4">
        <v>46600000</v>
      </c>
      <c r="BJ14" s="4">
        <v>49700000</v>
      </c>
      <c r="BK14" s="4">
        <v>65500000</v>
      </c>
      <c r="BL14" s="414">
        <v>73900000</v>
      </c>
      <c r="BM14" s="373">
        <v>75179000</v>
      </c>
      <c r="BN14" s="428">
        <v>9834231.4814814813</v>
      </c>
      <c r="BO14" s="428">
        <v>8989323.7209302336</v>
      </c>
      <c r="BP14" s="428">
        <v>7416545.5357142854</v>
      </c>
      <c r="BQ14" s="428">
        <v>4841519.6428571427</v>
      </c>
      <c r="BR14" s="373"/>
    </row>
    <row r="15" spans="1:70" s="4" customFormat="1" x14ac:dyDescent="0.3">
      <c r="B15" s="4" t="s">
        <v>19</v>
      </c>
      <c r="C15" s="4">
        <v>216002014.44611919</v>
      </c>
      <c r="D15" s="4">
        <v>227678077.7459718</v>
      </c>
      <c r="E15" s="4">
        <v>235468442.6167919</v>
      </c>
      <c r="F15" s="4">
        <v>220082077.59263587</v>
      </c>
      <c r="G15" s="30">
        <v>257532770.32156113</v>
      </c>
      <c r="H15" s="30">
        <v>300858557.76414001</v>
      </c>
      <c r="I15" s="4">
        <v>0</v>
      </c>
      <c r="J15" s="4">
        <v>0</v>
      </c>
      <c r="K15" s="4">
        <v>0</v>
      </c>
      <c r="L15" s="4">
        <v>0</v>
      </c>
      <c r="M15" s="414">
        <v>0</v>
      </c>
      <c r="N15" s="373">
        <v>0</v>
      </c>
      <c r="O15" s="4">
        <v>31516751</v>
      </c>
      <c r="P15" s="4">
        <v>28342136</v>
      </c>
      <c r="Q15" s="4">
        <v>41467468</v>
      </c>
      <c r="R15" s="30">
        <v>46269002</v>
      </c>
      <c r="W15" s="30"/>
      <c r="X15" s="34"/>
      <c r="Y15" s="66">
        <v>399173552</v>
      </c>
      <c r="Z15" s="56">
        <v>360075006</v>
      </c>
      <c r="AA15" s="56">
        <v>388099564</v>
      </c>
      <c r="AB15" s="57">
        <v>456535229</v>
      </c>
      <c r="AC15" s="57">
        <v>487902245</v>
      </c>
      <c r="AD15" s="419">
        <v>190018749</v>
      </c>
      <c r="AE15" s="34">
        <v>253690393</v>
      </c>
      <c r="AF15" s="34">
        <v>254443651</v>
      </c>
      <c r="AG15" s="34">
        <v>225144375</v>
      </c>
      <c r="AH15" s="419">
        <v>290945782</v>
      </c>
      <c r="AI15" s="40">
        <v>302968477</v>
      </c>
      <c r="AJ15" s="18">
        <v>6437821</v>
      </c>
      <c r="AK15" s="4">
        <v>6659263</v>
      </c>
      <c r="AL15" s="4">
        <v>6450000</v>
      </c>
      <c r="AM15" s="4">
        <v>6753547</v>
      </c>
      <c r="AN15" s="414">
        <v>17837511</v>
      </c>
      <c r="AO15" s="30"/>
      <c r="AU15" s="30"/>
      <c r="AV15" s="75">
        <v>158518120</v>
      </c>
      <c r="AW15" s="75">
        <v>174641273</v>
      </c>
      <c r="AX15" s="75">
        <v>140650177</v>
      </c>
      <c r="AY15" s="75">
        <v>165337615</v>
      </c>
      <c r="AZ15" s="75">
        <v>192909227</v>
      </c>
      <c r="BA15" s="76">
        <v>209576386</v>
      </c>
      <c r="BB15" s="75">
        <v>449661215</v>
      </c>
      <c r="BC15" s="75">
        <v>469790035</v>
      </c>
      <c r="BD15" s="75">
        <v>467850030</v>
      </c>
      <c r="BE15" s="75">
        <v>506425397</v>
      </c>
      <c r="BF15" s="75">
        <v>623889745</v>
      </c>
      <c r="BG15" s="76">
        <v>620274167</v>
      </c>
      <c r="BH15" s="4">
        <v>166178189.94622999</v>
      </c>
      <c r="BI15" s="4">
        <v>147211626.203962</v>
      </c>
      <c r="BJ15" s="4">
        <v>131998395.66629601</v>
      </c>
      <c r="BK15" s="4">
        <v>143808744.26078501</v>
      </c>
      <c r="BL15" s="414">
        <v>178268776.31445399</v>
      </c>
      <c r="BM15" s="373">
        <v>190786255</v>
      </c>
      <c r="BN15" s="428">
        <v>31516751</v>
      </c>
      <c r="BO15" s="428">
        <v>28342136</v>
      </c>
      <c r="BP15" s="428">
        <v>41467468</v>
      </c>
      <c r="BQ15" s="428">
        <v>46269002</v>
      </c>
      <c r="BR15" s="373"/>
    </row>
    <row r="16" spans="1:70" s="4" customFormat="1" x14ac:dyDescent="0.3">
      <c r="B16" s="78" t="s">
        <v>20</v>
      </c>
      <c r="C16" s="4">
        <v>0</v>
      </c>
      <c r="D16" s="4">
        <v>0</v>
      </c>
      <c r="E16" s="4">
        <v>0</v>
      </c>
      <c r="F16" s="4">
        <v>0</v>
      </c>
      <c r="G16" s="30">
        <v>0</v>
      </c>
      <c r="H16" s="30">
        <v>0</v>
      </c>
      <c r="I16" s="4">
        <v>0</v>
      </c>
      <c r="J16" s="4">
        <v>0</v>
      </c>
      <c r="K16" s="4">
        <v>0</v>
      </c>
      <c r="L16" s="4">
        <v>0</v>
      </c>
      <c r="M16" s="414">
        <v>0</v>
      </c>
      <c r="N16" s="30">
        <v>0</v>
      </c>
      <c r="O16" s="4">
        <v>1800000</v>
      </c>
      <c r="P16" s="4">
        <v>1850000</v>
      </c>
      <c r="Q16" s="4">
        <v>1950000</v>
      </c>
      <c r="R16" s="30">
        <v>2050000</v>
      </c>
      <c r="W16" s="30"/>
      <c r="X16" s="34"/>
      <c r="Y16" s="18"/>
      <c r="Z16" s="414"/>
      <c r="AA16" s="414"/>
      <c r="AB16" s="30"/>
      <c r="AC16" s="373">
        <v>0</v>
      </c>
      <c r="AD16" s="419">
        <v>4740000</v>
      </c>
      <c r="AE16" s="34">
        <v>6496000</v>
      </c>
      <c r="AF16" s="34">
        <v>12672000</v>
      </c>
      <c r="AG16" s="34">
        <v>8308000</v>
      </c>
      <c r="AH16" s="419">
        <v>11680000</v>
      </c>
      <c r="AI16" s="40">
        <v>11593844</v>
      </c>
      <c r="AJ16" s="18"/>
      <c r="AN16" s="414"/>
      <c r="AO16" s="30"/>
      <c r="AU16" s="30"/>
      <c r="AV16" s="75"/>
      <c r="AW16" s="75"/>
      <c r="AX16" s="75"/>
      <c r="AY16" s="75"/>
      <c r="AZ16" s="75"/>
      <c r="BA16" s="76"/>
      <c r="BB16" s="75"/>
      <c r="BC16" s="75"/>
      <c r="BD16" s="75"/>
      <c r="BE16" s="75"/>
      <c r="BF16" s="75"/>
      <c r="BG16" s="76"/>
      <c r="BH16" s="4">
        <v>0</v>
      </c>
      <c r="BI16" s="4">
        <v>0</v>
      </c>
      <c r="BJ16" s="4">
        <v>0</v>
      </c>
      <c r="BK16" s="4">
        <v>0</v>
      </c>
      <c r="BL16" s="414">
        <v>0</v>
      </c>
      <c r="BM16" s="373">
        <v>0</v>
      </c>
      <c r="BN16" s="428">
        <v>1800000</v>
      </c>
      <c r="BO16" s="428">
        <v>1850000</v>
      </c>
      <c r="BP16" s="428">
        <v>1950000</v>
      </c>
      <c r="BQ16" s="428">
        <v>2050000</v>
      </c>
      <c r="BR16" s="373"/>
    </row>
    <row r="17" spans="2:70" s="4" customFormat="1" x14ac:dyDescent="0.3">
      <c r="B17" s="78" t="s">
        <v>21</v>
      </c>
      <c r="C17" s="4">
        <v>216002014.44611919</v>
      </c>
      <c r="D17" s="4">
        <v>227678077.7459718</v>
      </c>
      <c r="E17" s="4">
        <v>235468442.6167919</v>
      </c>
      <c r="F17" s="4">
        <v>220082077.59263587</v>
      </c>
      <c r="G17" s="30">
        <v>257532770.32156113</v>
      </c>
      <c r="H17" s="30">
        <v>300858557.76414001</v>
      </c>
      <c r="I17" s="4">
        <v>0</v>
      </c>
      <c r="J17" s="4">
        <v>0</v>
      </c>
      <c r="K17" s="4">
        <v>0</v>
      </c>
      <c r="L17" s="4">
        <v>0</v>
      </c>
      <c r="M17" s="414">
        <v>0</v>
      </c>
      <c r="N17" s="30">
        <v>238151517</v>
      </c>
      <c r="O17" s="4">
        <f>SUM(O15:O16)</f>
        <v>33316751</v>
      </c>
      <c r="P17" s="4">
        <f t="shared" ref="P17:S17" si="1">SUM(P15:P16)</f>
        <v>30192136</v>
      </c>
      <c r="Q17" s="4">
        <f t="shared" si="1"/>
        <v>43417468</v>
      </c>
      <c r="R17" s="30">
        <f t="shared" si="1"/>
        <v>48319002</v>
      </c>
      <c r="S17" s="4">
        <f t="shared" si="1"/>
        <v>0</v>
      </c>
      <c r="T17" s="4">
        <f t="shared" ref="T17" si="2">SUM(T15:T16)</f>
        <v>0</v>
      </c>
      <c r="U17" s="4">
        <f t="shared" ref="U17" si="3">SUM(U15:U16)</f>
        <v>0</v>
      </c>
      <c r="V17" s="4">
        <f t="shared" ref="V17:W17" si="4">SUM(V15:V16)</f>
        <v>0</v>
      </c>
      <c r="W17" s="4">
        <f t="shared" si="4"/>
        <v>0</v>
      </c>
      <c r="X17" s="34"/>
      <c r="Y17" s="66">
        <v>399173552</v>
      </c>
      <c r="Z17" s="56">
        <v>360075006</v>
      </c>
      <c r="AA17" s="56">
        <v>388099564</v>
      </c>
      <c r="AB17" s="57">
        <v>456535229</v>
      </c>
      <c r="AC17" s="57">
        <v>487902245</v>
      </c>
      <c r="AD17" s="419">
        <f t="shared" ref="AD17:AJ17" si="5">SUM(AD15:AD16)</f>
        <v>194758749</v>
      </c>
      <c r="AE17" s="34">
        <f t="shared" si="5"/>
        <v>260186393</v>
      </c>
      <c r="AF17" s="34">
        <f t="shared" si="5"/>
        <v>267115651</v>
      </c>
      <c r="AG17" s="34">
        <f t="shared" si="5"/>
        <v>233452375</v>
      </c>
      <c r="AH17" s="419">
        <f>SUM(AH15:AH16)</f>
        <v>302625782</v>
      </c>
      <c r="AI17" s="40">
        <v>314562321</v>
      </c>
      <c r="AJ17" s="414">
        <f t="shared" si="5"/>
        <v>6437821</v>
      </c>
      <c r="AK17" s="18">
        <f t="shared" ref="AK17:AO17" si="6">SUM(AK15:AK16)</f>
        <v>6659263</v>
      </c>
      <c r="AL17" s="18">
        <f t="shared" si="6"/>
        <v>6450000</v>
      </c>
      <c r="AM17" s="18">
        <f t="shared" si="6"/>
        <v>6753547</v>
      </c>
      <c r="AN17" s="18">
        <f>SUM(AN15:AN16)</f>
        <v>17837511</v>
      </c>
      <c r="AO17" s="30"/>
      <c r="AU17" s="30"/>
      <c r="AV17" s="75">
        <f t="shared" ref="AV17:BB17" si="7">SUM(AV15:AV16)</f>
        <v>158518120</v>
      </c>
      <c r="AW17" s="75">
        <f t="shared" si="7"/>
        <v>174641273</v>
      </c>
      <c r="AX17" s="75">
        <f t="shared" si="7"/>
        <v>140650177</v>
      </c>
      <c r="AY17" s="75">
        <f t="shared" si="7"/>
        <v>165337615</v>
      </c>
      <c r="AZ17" s="75">
        <f>SUM(AZ15:AZ16)</f>
        <v>192909227</v>
      </c>
      <c r="BA17" s="76">
        <v>209576386</v>
      </c>
      <c r="BB17" s="75">
        <f t="shared" si="7"/>
        <v>449661215</v>
      </c>
      <c r="BC17" s="75">
        <f t="shared" ref="BC17:BG17" si="8">SUM(BC15:BC16)</f>
        <v>469790035</v>
      </c>
      <c r="BD17" s="75">
        <f t="shared" si="8"/>
        <v>467850030</v>
      </c>
      <c r="BE17" s="75">
        <f t="shared" si="8"/>
        <v>506425397</v>
      </c>
      <c r="BF17" s="75">
        <f>SUM(BF15:BF16)</f>
        <v>623889745</v>
      </c>
      <c r="BG17" s="76">
        <v>620274167</v>
      </c>
      <c r="BH17" s="4">
        <v>166178189.94622999</v>
      </c>
      <c r="BI17" s="4">
        <v>147211626.203962</v>
      </c>
      <c r="BJ17" s="4">
        <v>131998395.66629601</v>
      </c>
      <c r="BK17" s="4">
        <v>143808744.26078501</v>
      </c>
      <c r="BL17" s="414">
        <v>178268776.31445399</v>
      </c>
      <c r="BM17" s="373">
        <v>190786255</v>
      </c>
      <c r="BN17" s="428">
        <v>33316751</v>
      </c>
      <c r="BO17" s="428">
        <v>30192136</v>
      </c>
      <c r="BP17" s="428">
        <v>43417468</v>
      </c>
      <c r="BQ17" s="428">
        <v>48319002</v>
      </c>
      <c r="BR17" s="373"/>
    </row>
    <row r="18" spans="2:70" s="4" customFormat="1" x14ac:dyDescent="0.3">
      <c r="B18" s="14" t="s">
        <v>82</v>
      </c>
      <c r="C18" s="4">
        <v>11</v>
      </c>
      <c r="D18" s="4">
        <v>11</v>
      </c>
      <c r="E18" s="4">
        <v>11</v>
      </c>
      <c r="F18" s="4">
        <v>13</v>
      </c>
      <c r="G18" s="30">
        <v>14</v>
      </c>
      <c r="H18" s="30" t="s">
        <v>210</v>
      </c>
      <c r="I18" s="4">
        <v>12</v>
      </c>
      <c r="J18" s="4">
        <v>12</v>
      </c>
      <c r="K18" s="4">
        <v>12</v>
      </c>
      <c r="L18" s="4">
        <v>13</v>
      </c>
      <c r="M18" s="414">
        <v>13</v>
      </c>
      <c r="N18" s="30"/>
      <c r="O18" s="4">
        <v>5</v>
      </c>
      <c r="P18" s="4">
        <v>5</v>
      </c>
      <c r="Q18" s="4">
        <v>5</v>
      </c>
      <c r="R18" s="30">
        <v>5</v>
      </c>
      <c r="T18" s="4">
        <v>2</v>
      </c>
      <c r="U18" s="4">
        <v>2</v>
      </c>
      <c r="V18" s="4">
        <v>2</v>
      </c>
      <c r="W18" s="30">
        <v>2</v>
      </c>
      <c r="X18" s="34"/>
      <c r="Y18" s="18">
        <v>28</v>
      </c>
      <c r="Z18" s="414">
        <v>8</v>
      </c>
      <c r="AA18" s="414">
        <v>28</v>
      </c>
      <c r="AB18" s="30">
        <v>28</v>
      </c>
      <c r="AC18" s="30"/>
      <c r="AD18" s="419">
        <v>7</v>
      </c>
      <c r="AE18" s="34">
        <v>7</v>
      </c>
      <c r="AF18" s="34">
        <v>7</v>
      </c>
      <c r="AG18" s="34">
        <v>7</v>
      </c>
      <c r="AH18" s="419">
        <v>7</v>
      </c>
      <c r="AI18" s="30"/>
      <c r="AJ18" s="414">
        <v>2</v>
      </c>
      <c r="AK18" s="4">
        <v>2</v>
      </c>
      <c r="AL18" s="4">
        <v>2</v>
      </c>
      <c r="AM18" s="4">
        <v>2</v>
      </c>
      <c r="AN18" s="414">
        <v>2</v>
      </c>
      <c r="AO18" s="30"/>
      <c r="AU18" s="30"/>
      <c r="AV18" s="4">
        <v>4</v>
      </c>
      <c r="AW18" s="4">
        <v>4</v>
      </c>
      <c r="AX18" s="4">
        <v>3</v>
      </c>
      <c r="AY18" s="4">
        <v>3</v>
      </c>
      <c r="AZ18" s="414">
        <v>3</v>
      </c>
      <c r="BA18" s="30"/>
      <c r="BB18" s="4">
        <v>21</v>
      </c>
      <c r="BC18" s="4">
        <v>21</v>
      </c>
      <c r="BD18" s="4">
        <v>21</v>
      </c>
      <c r="BE18" s="4">
        <v>21</v>
      </c>
      <c r="BF18" s="414">
        <v>21</v>
      </c>
      <c r="BG18" s="30"/>
      <c r="BL18" s="414"/>
      <c r="BM18" s="30"/>
      <c r="BN18" s="428">
        <v>5</v>
      </c>
      <c r="BO18" s="428">
        <v>5</v>
      </c>
      <c r="BP18" s="428">
        <v>5</v>
      </c>
      <c r="BQ18" s="428">
        <v>5</v>
      </c>
      <c r="BR18" s="373"/>
    </row>
    <row r="19" spans="2:70" s="4" customFormat="1" x14ac:dyDescent="0.3">
      <c r="B19" s="14" t="s">
        <v>83</v>
      </c>
      <c r="G19" s="30"/>
      <c r="H19" s="30"/>
      <c r="M19" s="414"/>
      <c r="N19" s="30"/>
      <c r="R19" s="30"/>
      <c r="W19" s="30"/>
      <c r="X19" s="34"/>
      <c r="Y19" s="414">
        <v>0</v>
      </c>
      <c r="Z19" s="414">
        <v>0</v>
      </c>
      <c r="AA19" s="414">
        <v>0</v>
      </c>
      <c r="AB19" s="30">
        <v>0</v>
      </c>
      <c r="AC19" s="30"/>
      <c r="AD19" s="34"/>
      <c r="AE19" s="34"/>
      <c r="AF19" s="34"/>
      <c r="AG19" s="34"/>
      <c r="AH19" s="419"/>
      <c r="AI19" s="30"/>
      <c r="AN19" s="414"/>
      <c r="AO19" s="30"/>
      <c r="AU19" s="30"/>
      <c r="AZ19" s="414"/>
      <c r="BA19" s="30"/>
      <c r="BF19" s="414"/>
      <c r="BG19" s="30"/>
      <c r="BL19" s="414"/>
      <c r="BM19" s="30"/>
      <c r="BN19" s="428"/>
      <c r="BO19" s="428"/>
      <c r="BP19" s="428"/>
      <c r="BQ19" s="428"/>
      <c r="BR19" s="373"/>
    </row>
    <row r="20" spans="2:70" s="4" customFormat="1" x14ac:dyDescent="0.3">
      <c r="B20" s="15" t="s">
        <v>23</v>
      </c>
      <c r="C20" s="4">
        <v>7516</v>
      </c>
      <c r="D20" s="4">
        <v>4392.3019999999997</v>
      </c>
      <c r="E20" s="4">
        <v>3285.2640000000001</v>
      </c>
      <c r="F20" s="4">
        <v>3104.6489999999999</v>
      </c>
      <c r="G20" s="30">
        <v>2496</v>
      </c>
      <c r="H20" s="30" t="s">
        <v>210</v>
      </c>
      <c r="I20" s="4">
        <v>8021</v>
      </c>
      <c r="J20" s="4">
        <v>8222</v>
      </c>
      <c r="K20" s="4">
        <v>8349</v>
      </c>
      <c r="L20" s="4">
        <v>8339</v>
      </c>
      <c r="M20" s="414">
        <v>8497</v>
      </c>
      <c r="N20" s="30"/>
      <c r="O20" s="4">
        <v>877</v>
      </c>
      <c r="P20" s="4">
        <v>960</v>
      </c>
      <c r="Q20" s="4">
        <v>933</v>
      </c>
      <c r="R20" s="30">
        <v>975</v>
      </c>
      <c r="S20" s="11">
        <v>0</v>
      </c>
      <c r="T20" s="11">
        <v>793</v>
      </c>
      <c r="U20" s="11">
        <v>822</v>
      </c>
      <c r="V20" s="11">
        <v>410</v>
      </c>
      <c r="W20" s="53">
        <v>320</v>
      </c>
      <c r="X20" s="34"/>
      <c r="Y20" s="11">
        <v>44100</v>
      </c>
      <c r="Z20" s="11">
        <v>44700</v>
      </c>
      <c r="AA20" s="11">
        <v>47400</v>
      </c>
      <c r="AB20" s="53">
        <v>47100</v>
      </c>
      <c r="AC20" s="30"/>
      <c r="AD20" s="34">
        <v>20016</v>
      </c>
      <c r="AE20" s="34">
        <v>18745</v>
      </c>
      <c r="AF20" s="34">
        <v>20253</v>
      </c>
      <c r="AG20" s="34">
        <v>20932</v>
      </c>
      <c r="AH20" s="419">
        <v>20456</v>
      </c>
      <c r="AI20" s="30"/>
      <c r="AJ20" s="11">
        <f>((28700)*2.66)/1000</f>
        <v>76.341999999999999</v>
      </c>
      <c r="AK20" s="11">
        <f>((28700)*2.66)/1000</f>
        <v>76.341999999999999</v>
      </c>
      <c r="AL20" s="11">
        <f>((28700)*2.66)/1000</f>
        <v>76.341999999999999</v>
      </c>
      <c r="AM20" s="11">
        <f>((28700)*2.66)/1000</f>
        <v>76.341999999999999</v>
      </c>
      <c r="AN20" s="87">
        <f>((73901+27300)*2.66)/1000</f>
        <v>269.19466000000006</v>
      </c>
      <c r="AO20" s="30"/>
      <c r="AP20" s="87"/>
      <c r="AQ20" s="87"/>
      <c r="AR20" s="87"/>
      <c r="AS20" s="87"/>
      <c r="AT20" s="87"/>
      <c r="AU20" s="79"/>
      <c r="AV20" s="19">
        <v>8375</v>
      </c>
      <c r="AW20" s="19">
        <v>8771</v>
      </c>
      <c r="AX20" s="19">
        <v>7826</v>
      </c>
      <c r="AY20" s="19">
        <v>7733</v>
      </c>
      <c r="AZ20" s="421">
        <v>7018</v>
      </c>
      <c r="BA20" s="30"/>
      <c r="BB20" s="11">
        <v>34850</v>
      </c>
      <c r="BC20" s="11">
        <v>33601</v>
      </c>
      <c r="BD20" s="11">
        <v>34391</v>
      </c>
      <c r="BE20" s="11">
        <v>38111</v>
      </c>
      <c r="BF20" s="11">
        <v>38386</v>
      </c>
      <c r="BG20" s="30"/>
      <c r="BI20" s="4">
        <v>12083</v>
      </c>
      <c r="BJ20" s="4">
        <v>12222</v>
      </c>
      <c r="BK20" s="4">
        <v>12545</v>
      </c>
      <c r="BL20" s="414">
        <v>11524</v>
      </c>
      <c r="BM20" s="30"/>
      <c r="BN20" s="428">
        <v>877</v>
      </c>
      <c r="BO20" s="428">
        <v>960</v>
      </c>
      <c r="BP20" s="428">
        <v>933</v>
      </c>
      <c r="BQ20" s="428">
        <v>975</v>
      </c>
      <c r="BR20" s="373"/>
    </row>
    <row r="21" spans="2:70" s="4" customFormat="1" x14ac:dyDescent="0.3">
      <c r="B21" s="29" t="s">
        <v>36</v>
      </c>
      <c r="G21" s="30"/>
      <c r="H21" s="30"/>
      <c r="M21" s="414"/>
      <c r="N21" s="30"/>
      <c r="R21" s="30"/>
      <c r="W21" s="30"/>
      <c r="X21" s="292"/>
      <c r="Y21" s="414"/>
      <c r="Z21" s="414"/>
      <c r="AA21" s="414"/>
      <c r="AB21" s="30"/>
      <c r="AC21" s="30"/>
      <c r="AD21" s="34"/>
      <c r="AE21" s="34"/>
      <c r="AF21" s="34"/>
      <c r="AG21" s="34"/>
      <c r="AH21" s="419"/>
      <c r="AI21" s="30"/>
      <c r="AN21" s="414"/>
      <c r="AO21" s="30"/>
      <c r="AU21" s="30"/>
      <c r="AZ21" s="414"/>
      <c r="BA21" s="30"/>
      <c r="BF21" s="414"/>
      <c r="BG21" s="30"/>
      <c r="BL21" s="414"/>
      <c r="BM21" s="30"/>
      <c r="BN21" s="428"/>
      <c r="BO21" s="428"/>
      <c r="BP21" s="428"/>
      <c r="BQ21" s="428"/>
      <c r="BR21" s="373"/>
    </row>
    <row r="22" spans="2:70" s="4" customFormat="1" x14ac:dyDescent="0.3">
      <c r="B22" s="4" t="s">
        <v>45</v>
      </c>
      <c r="C22" s="4">
        <f>C17-C14</f>
        <v>160902448.95065278</v>
      </c>
      <c r="D22" s="4">
        <f t="shared" ref="D22:H22" si="9">D17-D14</f>
        <v>198599030.59448192</v>
      </c>
      <c r="E22" s="4">
        <f t="shared" si="9"/>
        <v>208117734.60355482</v>
      </c>
      <c r="F22" s="4">
        <f t="shared" si="9"/>
        <v>179746291.42877913</v>
      </c>
      <c r="G22" s="30">
        <f>G17-G14</f>
        <v>206464290.00947011</v>
      </c>
      <c r="H22" s="30">
        <f>H17-H14</f>
        <v>250947525.52951902</v>
      </c>
      <c r="I22" s="4">
        <f>I17-I14</f>
        <v>0</v>
      </c>
      <c r="J22" s="4">
        <f t="shared" ref="J22:O22" si="10">J17-J14</f>
        <v>0</v>
      </c>
      <c r="K22" s="4">
        <f t="shared" si="10"/>
        <v>0</v>
      </c>
      <c r="L22" s="4">
        <f t="shared" si="10"/>
        <v>0</v>
      </c>
      <c r="M22" s="414">
        <f t="shared" si="10"/>
        <v>0</v>
      </c>
      <c r="N22" s="30"/>
      <c r="O22" s="4">
        <f t="shared" si="10"/>
        <v>23482519.518518519</v>
      </c>
      <c r="P22" s="4">
        <f t="shared" ref="P22:S22" si="11">P17-P14</f>
        <v>21202812.279069766</v>
      </c>
      <c r="Q22" s="4">
        <f t="shared" si="11"/>
        <v>36000922.464285716</v>
      </c>
      <c r="R22" s="30">
        <f t="shared" si="11"/>
        <v>43477482.357142858</v>
      </c>
      <c r="S22" s="4">
        <f t="shared" si="11"/>
        <v>0</v>
      </c>
      <c r="T22" s="4">
        <f t="shared" ref="T22:AA22" si="12">T17-T14</f>
        <v>0</v>
      </c>
      <c r="U22" s="4">
        <f t="shared" si="12"/>
        <v>0</v>
      </c>
      <c r="V22" s="4">
        <f t="shared" si="12"/>
        <v>0</v>
      </c>
      <c r="W22" s="4">
        <f t="shared" si="12"/>
        <v>0</v>
      </c>
      <c r="X22" s="34"/>
      <c r="Y22" s="414">
        <f t="shared" si="12"/>
        <v>345333799</v>
      </c>
      <c r="Z22" s="414">
        <f t="shared" si="12"/>
        <v>302159240</v>
      </c>
      <c r="AA22" s="414">
        <f t="shared" si="12"/>
        <v>321775074</v>
      </c>
      <c r="AB22" s="414">
        <f>AB17-AB14</f>
        <v>384529604</v>
      </c>
      <c r="AC22" s="414">
        <f>AC17-AC14</f>
        <v>418746230.36000013</v>
      </c>
      <c r="AD22" s="34">
        <f t="shared" ref="AD22:AI22" si="13">AD17-AD14</f>
        <v>111892373.10714287</v>
      </c>
      <c r="AE22" s="34">
        <f t="shared" si="13"/>
        <v>200900600.14285713</v>
      </c>
      <c r="AF22" s="34">
        <f t="shared" si="13"/>
        <v>206396212.60714287</v>
      </c>
      <c r="AG22" s="34">
        <f t="shared" si="13"/>
        <v>152615741.0714286</v>
      </c>
      <c r="AH22" s="34">
        <f>AH17-AH14</f>
        <v>220320675.75</v>
      </c>
      <c r="AI22" s="40">
        <f>AI17-AI14</f>
        <v>228792492</v>
      </c>
      <c r="AJ22" s="4">
        <f>AJ17-AJ14</f>
        <v>6222461</v>
      </c>
      <c r="AK22" s="4">
        <f t="shared" ref="AK22:AO22" si="14">AK17-AK14</f>
        <v>6509824</v>
      </c>
      <c r="AL22" s="4">
        <f t="shared" si="14"/>
        <v>6311910</v>
      </c>
      <c r="AM22" s="4">
        <f t="shared" si="14"/>
        <v>6568992</v>
      </c>
      <c r="AN22" s="414">
        <f>AN17-AN14</f>
        <v>17034450</v>
      </c>
      <c r="AO22" s="30"/>
      <c r="AU22" s="30"/>
      <c r="AV22" s="4">
        <f>AV17-AV14</f>
        <v>127169706.5</v>
      </c>
      <c r="AW22" s="4">
        <f t="shared" ref="AW22:BA22" si="15">AW17-AW14</f>
        <v>151562849</v>
      </c>
      <c r="AX22" s="4">
        <f t="shared" si="15"/>
        <v>121095043</v>
      </c>
      <c r="AY22" s="4">
        <f t="shared" si="15"/>
        <v>141692282</v>
      </c>
      <c r="AZ22" s="4">
        <f>AZ17-AZ14</f>
        <v>166283431</v>
      </c>
      <c r="BA22" s="30">
        <f>BA17-BA14</f>
        <v>187055154</v>
      </c>
      <c r="BB22" s="4">
        <f>BB17-BB14</f>
        <v>392300236</v>
      </c>
      <c r="BC22" s="4">
        <f t="shared" ref="BC22:BG22" si="16">BC17-BC14</f>
        <v>421165271</v>
      </c>
      <c r="BD22" s="4">
        <f t="shared" si="16"/>
        <v>418595754</v>
      </c>
      <c r="BE22" s="4">
        <f t="shared" si="16"/>
        <v>451416196</v>
      </c>
      <c r="BF22" s="4">
        <f>BF17-BF14</f>
        <v>570706180</v>
      </c>
      <c r="BG22" s="30">
        <f>BG17-BG14</f>
        <v>659546344</v>
      </c>
      <c r="BH22" s="4">
        <f>BH17-BH14</f>
        <v>104478189.94622999</v>
      </c>
      <c r="BI22" s="4">
        <f t="shared" ref="BI22:BM22" si="17">BI17-BI14</f>
        <v>100611626.203962</v>
      </c>
      <c r="BJ22" s="4">
        <f t="shared" si="17"/>
        <v>82298395.666296005</v>
      </c>
      <c r="BK22" s="4">
        <f t="shared" si="17"/>
        <v>78308744.260785013</v>
      </c>
      <c r="BL22" s="4">
        <f t="shared" si="17"/>
        <v>104368776.31445399</v>
      </c>
      <c r="BM22" s="30">
        <f t="shared" si="17"/>
        <v>115607255</v>
      </c>
      <c r="BN22" s="428">
        <v>23482519.518518519</v>
      </c>
      <c r="BO22" s="428">
        <v>21202812.279069766</v>
      </c>
      <c r="BP22" s="428">
        <v>36000922.464285716</v>
      </c>
      <c r="BQ22" s="428">
        <v>43477482.357142858</v>
      </c>
      <c r="BR22" s="373"/>
    </row>
    <row r="23" spans="2:70" s="80" customFormat="1" x14ac:dyDescent="0.3">
      <c r="B23" s="80" t="s">
        <v>35</v>
      </c>
      <c r="C23" s="81">
        <f>C7/C5</f>
        <v>0.24686038216905748</v>
      </c>
      <c r="D23" s="81">
        <f t="shared" ref="D23:H23" si="18">D7/D5</f>
        <v>0.16501933840092178</v>
      </c>
      <c r="E23" s="81">
        <f t="shared" si="18"/>
        <v>0.15746316305176417</v>
      </c>
      <c r="F23" s="81">
        <f t="shared" si="18"/>
        <v>0.17862618030189864</v>
      </c>
      <c r="G23" s="93">
        <f>G7/G5</f>
        <v>0.18989286190095161</v>
      </c>
      <c r="H23" s="93">
        <f>H7/H5</f>
        <v>0.15740367650915099</v>
      </c>
      <c r="I23" s="81">
        <f t="shared" ref="I23:O23" si="19">I7/I5</f>
        <v>0.27540806903631376</v>
      </c>
      <c r="J23" s="81">
        <f t="shared" si="19"/>
        <v>0.19634265152142619</v>
      </c>
      <c r="K23" s="81">
        <f t="shared" si="19"/>
        <v>0.20952284970692497</v>
      </c>
      <c r="L23" s="81">
        <f t="shared" si="19"/>
        <v>0.15614396536912009</v>
      </c>
      <c r="M23" s="81">
        <f t="shared" si="19"/>
        <v>0.13541724826965892</v>
      </c>
      <c r="N23" s="93"/>
      <c r="O23" s="81">
        <f t="shared" si="19"/>
        <v>7.4985827616424389E-2</v>
      </c>
      <c r="P23" s="81">
        <f t="shared" ref="P23:R23" si="20">P7/P5</f>
        <v>5.7433024644965351E-2</v>
      </c>
      <c r="Q23" s="81">
        <f t="shared" si="20"/>
        <v>5.7237247733247419E-2</v>
      </c>
      <c r="R23" s="93">
        <f t="shared" si="20"/>
        <v>6.3696224008479019E-2</v>
      </c>
      <c r="S23" s="81"/>
      <c r="T23" s="4">
        <f t="shared" ref="T23" si="21">T18-T15</f>
        <v>2</v>
      </c>
      <c r="U23" s="81"/>
      <c r="V23" s="81"/>
      <c r="W23" s="81"/>
      <c r="X23" s="84"/>
      <c r="Y23" s="81">
        <f t="shared" ref="Y23:AC23" si="22">Y7/Y5</f>
        <v>0.23359954204358105</v>
      </c>
      <c r="Z23" s="81">
        <f t="shared" si="22"/>
        <v>0.28458384081632654</v>
      </c>
      <c r="AA23" s="81">
        <f t="shared" si="22"/>
        <v>0.20034278775510203</v>
      </c>
      <c r="AB23" s="81">
        <f>AB7/AB5</f>
        <v>0.12953530111393699</v>
      </c>
      <c r="AC23" s="81">
        <f>AC7/AC5</f>
        <v>0.13165994408242393</v>
      </c>
      <c r="AD23" s="84">
        <f t="shared" ref="AD23:AJ23" si="23">AD7/AD5</f>
        <v>0.27542824028542751</v>
      </c>
      <c r="AE23" s="84">
        <f t="shared" si="23"/>
        <v>0.19671161987140065</v>
      </c>
      <c r="AF23" s="84">
        <f t="shared" si="23"/>
        <v>0.18723270283554952</v>
      </c>
      <c r="AG23" s="84">
        <f t="shared" si="23"/>
        <v>0.23608461396441466</v>
      </c>
      <c r="AH23" s="84">
        <f>AH7/AH5</f>
        <v>0.25584981289620234</v>
      </c>
      <c r="AI23" s="84">
        <f>AI7/AI5</f>
        <v>0.25584981378562283</v>
      </c>
      <c r="AJ23" s="81">
        <f t="shared" si="23"/>
        <v>0.13983554299789902</v>
      </c>
      <c r="AK23" s="81">
        <f t="shared" ref="AK23:AV23" si="24">AK7/AK5</f>
        <v>0.10370274803251193</v>
      </c>
      <c r="AL23" s="81">
        <f t="shared" si="24"/>
        <v>0.13800541865565732</v>
      </c>
      <c r="AM23" s="81">
        <f t="shared" si="24"/>
        <v>0.10140743129918721</v>
      </c>
      <c r="AN23" s="81">
        <f>AN7/AN5</f>
        <v>0.10099696813314411</v>
      </c>
      <c r="AO23" s="94"/>
      <c r="AP23" s="81"/>
      <c r="AQ23" s="81"/>
      <c r="AR23" s="81"/>
      <c r="AS23" s="81"/>
      <c r="AT23" s="81"/>
      <c r="AU23" s="93"/>
      <c r="AV23" s="81">
        <f t="shared" si="24"/>
        <v>0.10374150700286554</v>
      </c>
      <c r="AW23" s="81">
        <f t="shared" ref="AW23:BH23" si="25">AW7/AW5</f>
        <v>7.0664139985536251E-2</v>
      </c>
      <c r="AX23" s="81">
        <f t="shared" si="25"/>
        <v>7.1945400674662596E-2</v>
      </c>
      <c r="AY23" s="81">
        <f t="shared" si="25"/>
        <v>8.1502914217324682E-2</v>
      </c>
      <c r="AZ23" s="81">
        <f>AZ7/AZ5</f>
        <v>9.0917651903517055E-2</v>
      </c>
      <c r="BA23" s="93">
        <f>BA7/BA5</f>
        <v>6.2141956663595274E-2</v>
      </c>
      <c r="BB23" s="81">
        <f t="shared" si="25"/>
        <v>0.1338603965291196</v>
      </c>
      <c r="BC23" s="81">
        <f t="shared" si="25"/>
        <v>4.3033316963679506E-2</v>
      </c>
      <c r="BD23" s="81">
        <f t="shared" si="25"/>
        <v>0.12979004030961783</v>
      </c>
      <c r="BE23" s="81">
        <f t="shared" si="25"/>
        <v>0.12697718057113278</v>
      </c>
      <c r="BF23" s="81">
        <f>BF7/BF5</f>
        <v>0.13505825663683879</v>
      </c>
      <c r="BG23" s="93"/>
      <c r="BH23" s="81">
        <f t="shared" si="25"/>
        <v>0.23531536341417431</v>
      </c>
      <c r="BI23" s="81">
        <f t="shared" ref="BI23:BL23" si="26">BI7/BI5</f>
        <v>0.1093702281537212</v>
      </c>
      <c r="BJ23" s="81">
        <f t="shared" si="26"/>
        <v>0.14019119158114574</v>
      </c>
      <c r="BK23" s="81">
        <f t="shared" si="26"/>
        <v>0.21236745501285348</v>
      </c>
      <c r="BL23" s="81">
        <f t="shared" si="26"/>
        <v>0.22749604795947556</v>
      </c>
      <c r="BM23" s="93">
        <f t="shared" ref="BM23" si="27">BM7/BM5</f>
        <v>0.21285868819172235</v>
      </c>
      <c r="BN23" s="429">
        <v>7.4985827616424389E-2</v>
      </c>
      <c r="BO23" s="429">
        <v>5.7433024644965351E-2</v>
      </c>
      <c r="BP23" s="429">
        <v>5.7237247733247419E-2</v>
      </c>
      <c r="BQ23" s="429">
        <v>6.3696224008479019E-2</v>
      </c>
      <c r="BR23" s="373"/>
    </row>
    <row r="24" spans="2:70" s="80" customFormat="1" x14ac:dyDescent="0.3">
      <c r="B24" s="80" t="s">
        <v>38</v>
      </c>
      <c r="C24" s="81">
        <f>C13/C17</f>
        <v>0.74380532682823475</v>
      </c>
      <c r="D24" s="81">
        <f t="shared" ref="D24:H24" si="28">D13/D17</f>
        <v>0.86652818469725967</v>
      </c>
      <c r="E24" s="81">
        <f t="shared" si="28"/>
        <v>0.88154545691563102</v>
      </c>
      <c r="F24" s="81">
        <f t="shared" si="28"/>
        <v>0.81494569456234345</v>
      </c>
      <c r="G24" s="93">
        <f>G13/G17</f>
        <v>0.80023496834412067</v>
      </c>
      <c r="H24" s="93">
        <f>H13/H17</f>
        <v>0.83410466165383568</v>
      </c>
      <c r="I24" s="81"/>
      <c r="J24" s="81"/>
      <c r="K24" s="81"/>
      <c r="L24" s="81"/>
      <c r="M24" s="81"/>
      <c r="N24" s="93"/>
      <c r="O24" s="81">
        <f t="shared" ref="O24" si="29">O13/O17</f>
        <v>0</v>
      </c>
      <c r="P24" s="81">
        <f t="shared" ref="P24:R24" si="30">P13/P17</f>
        <v>0</v>
      </c>
      <c r="Q24" s="81">
        <f t="shared" si="30"/>
        <v>0</v>
      </c>
      <c r="R24" s="93">
        <f t="shared" si="30"/>
        <v>0</v>
      </c>
      <c r="S24" s="81"/>
      <c r="T24" s="4">
        <f t="shared" ref="T24" si="31">T19-T16</f>
        <v>0</v>
      </c>
      <c r="U24" s="81"/>
      <c r="V24" s="81"/>
      <c r="W24" s="81"/>
      <c r="X24" s="84"/>
      <c r="Y24" s="81">
        <f t="shared" ref="Y24:AC24" si="32">Y13/Y17</f>
        <v>0</v>
      </c>
      <c r="Z24" s="81">
        <f t="shared" si="32"/>
        <v>0</v>
      </c>
      <c r="AA24" s="81">
        <f t="shared" si="32"/>
        <v>0</v>
      </c>
      <c r="AB24" s="81">
        <f>AB13/AB17</f>
        <v>0</v>
      </c>
      <c r="AC24" s="81">
        <f>AC13/AC17</f>
        <v>0</v>
      </c>
      <c r="AD24" s="84">
        <f t="shared" ref="AD24:AJ24" si="33">AD13/AD17</f>
        <v>0</v>
      </c>
      <c r="AE24" s="84">
        <f t="shared" si="33"/>
        <v>0</v>
      </c>
      <c r="AF24" s="84">
        <f t="shared" si="33"/>
        <v>0</v>
      </c>
      <c r="AG24" s="84">
        <f t="shared" si="33"/>
        <v>0</v>
      </c>
      <c r="AH24" s="84">
        <f>AH13/AH17</f>
        <v>0</v>
      </c>
      <c r="AI24" s="84">
        <f>AI13/AI17</f>
        <v>0</v>
      </c>
      <c r="AJ24" s="81">
        <f t="shared" si="33"/>
        <v>0</v>
      </c>
      <c r="AK24" s="81">
        <f t="shared" ref="AK24:AV24" si="34">AK13/AK17</f>
        <v>0</v>
      </c>
      <c r="AL24" s="81">
        <f t="shared" si="34"/>
        <v>0</v>
      </c>
      <c r="AM24" s="81">
        <f t="shared" si="34"/>
        <v>0</v>
      </c>
      <c r="AN24" s="81">
        <f>AN13/AN17</f>
        <v>0</v>
      </c>
      <c r="AO24" s="94"/>
      <c r="AP24" s="81"/>
      <c r="AQ24" s="81"/>
      <c r="AR24" s="81"/>
      <c r="AS24" s="81"/>
      <c r="AT24" s="81"/>
      <c r="AU24" s="93"/>
      <c r="AV24" s="81">
        <f t="shared" si="34"/>
        <v>0</v>
      </c>
      <c r="AW24" s="81">
        <f t="shared" ref="AW24:BH24" si="35">AW13/AW17</f>
        <v>0</v>
      </c>
      <c r="AX24" s="81">
        <f t="shared" si="35"/>
        <v>0</v>
      </c>
      <c r="AY24" s="81">
        <f t="shared" si="35"/>
        <v>0</v>
      </c>
      <c r="AZ24" s="81">
        <f>AZ13/AZ17</f>
        <v>0</v>
      </c>
      <c r="BA24" s="93">
        <f>BA13/BA17</f>
        <v>0</v>
      </c>
      <c r="BB24" s="81">
        <f t="shared" si="35"/>
        <v>0</v>
      </c>
      <c r="BC24" s="81">
        <f t="shared" si="35"/>
        <v>0</v>
      </c>
      <c r="BD24" s="81">
        <f t="shared" si="35"/>
        <v>0</v>
      </c>
      <c r="BE24" s="81">
        <f t="shared" si="35"/>
        <v>0</v>
      </c>
      <c r="BF24" s="81">
        <f>BF13/BF17</f>
        <v>0</v>
      </c>
      <c r="BG24" s="93"/>
      <c r="BH24" s="81">
        <f t="shared" si="35"/>
        <v>0</v>
      </c>
      <c r="BI24" s="81">
        <f t="shared" ref="BI24:BL24" si="36">BI13/BI17</f>
        <v>0</v>
      </c>
      <c r="BJ24" s="81">
        <f t="shared" si="36"/>
        <v>0</v>
      </c>
      <c r="BK24" s="81">
        <f t="shared" si="36"/>
        <v>0</v>
      </c>
      <c r="BL24" s="81">
        <f t="shared" si="36"/>
        <v>0</v>
      </c>
      <c r="BM24" s="93">
        <f t="shared" ref="BM24" si="37">BM13/BM17</f>
        <v>0</v>
      </c>
      <c r="BN24" s="429">
        <v>0</v>
      </c>
      <c r="BO24" s="429">
        <v>0</v>
      </c>
      <c r="BP24" s="429">
        <v>0</v>
      </c>
      <c r="BQ24" s="429">
        <v>0</v>
      </c>
      <c r="BR24" s="373"/>
    </row>
    <row r="25" spans="2:70" s="80" customFormat="1" x14ac:dyDescent="0.3">
      <c r="B25" s="80" t="s">
        <v>47</v>
      </c>
      <c r="C25" s="81">
        <f>C14/C17</f>
        <v>0.25508820200938798</v>
      </c>
      <c r="D25" s="81">
        <f t="shared" ref="D25:H25" si="38">D14/D17</f>
        <v>0.12772001344782249</v>
      </c>
      <c r="E25" s="81">
        <f t="shared" si="38"/>
        <v>0.11615445241530056</v>
      </c>
      <c r="F25" s="81">
        <f t="shared" si="38"/>
        <v>0.18327610591952354</v>
      </c>
      <c r="G25" s="93">
        <f>G14/G17</f>
        <v>0.19829895919003157</v>
      </c>
      <c r="H25" s="93">
        <f>H14/H17</f>
        <v>0.16589533834616424</v>
      </c>
      <c r="I25" s="81"/>
      <c r="J25" s="81"/>
      <c r="K25" s="81"/>
      <c r="L25" s="81"/>
      <c r="M25" s="81"/>
      <c r="N25" s="93"/>
      <c r="O25" s="81">
        <f t="shared" ref="O25" si="39">O14/O17</f>
        <v>0.29517378454704307</v>
      </c>
      <c r="P25" s="81">
        <f t="shared" ref="P25:R25" si="40">P14/P17</f>
        <v>0.2977372558513327</v>
      </c>
      <c r="Q25" s="81">
        <f t="shared" si="40"/>
        <v>0.17081939314642405</v>
      </c>
      <c r="R25" s="93">
        <f t="shared" si="40"/>
        <v>0.10019908198553321</v>
      </c>
      <c r="S25" s="81"/>
      <c r="T25" s="4">
        <f t="shared" ref="T25" si="41">T20-T17</f>
        <v>793</v>
      </c>
      <c r="U25" s="81"/>
      <c r="V25" s="81"/>
      <c r="W25" s="81"/>
      <c r="X25" s="84"/>
      <c r="Y25" s="81">
        <f t="shared" ref="Y25:AC25" si="42">Y14/Y17</f>
        <v>0.13487805675061357</v>
      </c>
      <c r="Z25" s="81">
        <f t="shared" si="42"/>
        <v>0.16084361601038202</v>
      </c>
      <c r="AA25" s="81">
        <f t="shared" si="42"/>
        <v>0.17089555400788856</v>
      </c>
      <c r="AB25" s="81">
        <f>AB14/AB17</f>
        <v>0.15772194657950481</v>
      </c>
      <c r="AC25" s="81">
        <f>AC14/AC17</f>
        <v>0.14174153808208007</v>
      </c>
      <c r="AD25" s="84">
        <f t="shared" ref="AD25:AJ25" si="43">AD14/AD17</f>
        <v>0.42548217380908077</v>
      </c>
      <c r="AE25" s="84">
        <f t="shared" si="43"/>
        <v>0.22785892902993912</v>
      </c>
      <c r="AF25" s="84">
        <f t="shared" si="43"/>
        <v>0.22731516541820732</v>
      </c>
      <c r="AG25" s="84">
        <f t="shared" si="43"/>
        <v>0.34626605931325999</v>
      </c>
      <c r="AH25" s="84">
        <f>AH14/AH17</f>
        <v>0.27196990853211572</v>
      </c>
      <c r="AI25" s="84">
        <f>AI14/AI17</f>
        <v>0.27266402640766374</v>
      </c>
      <c r="AJ25" s="81">
        <f t="shared" si="43"/>
        <v>3.3452312513814843E-2</v>
      </c>
      <c r="AK25" s="81">
        <f t="shared" ref="AK25:AV25" si="44">AK14/AK17</f>
        <v>2.2440771598899158E-2</v>
      </c>
      <c r="AL25" s="81">
        <f t="shared" si="44"/>
        <v>2.1409302325581397E-2</v>
      </c>
      <c r="AM25" s="81">
        <f t="shared" si="44"/>
        <v>2.7327121585146295E-2</v>
      </c>
      <c r="AN25" s="81">
        <f>AN14/AN17</f>
        <v>4.5020911269515122E-2</v>
      </c>
      <c r="AO25" s="94"/>
      <c r="AP25" s="81"/>
      <c r="AQ25" s="81"/>
      <c r="AR25" s="81"/>
      <c r="AS25" s="81"/>
      <c r="AT25" s="81"/>
      <c r="AU25" s="93"/>
      <c r="AV25" s="81">
        <f t="shared" si="44"/>
        <v>0.19775918046466867</v>
      </c>
      <c r="AW25" s="81">
        <f t="shared" ref="AW25:BH25" si="45">AW14/AW17</f>
        <v>0.13214759377068902</v>
      </c>
      <c r="AX25" s="81">
        <f t="shared" si="45"/>
        <v>0.13903383854255655</v>
      </c>
      <c r="AY25" s="81">
        <f t="shared" si="45"/>
        <v>0.14301242339802711</v>
      </c>
      <c r="AZ25" s="81">
        <f>AZ14/AZ17</f>
        <v>0.13802240781359826</v>
      </c>
      <c r="BA25" s="93">
        <f>BA14/BA17</f>
        <v>0.10746073271823668</v>
      </c>
      <c r="BB25" s="81">
        <f t="shared" si="45"/>
        <v>0.12756488015093764</v>
      </c>
      <c r="BC25" s="81">
        <f t="shared" si="45"/>
        <v>0.10350318307624384</v>
      </c>
      <c r="BD25" s="81">
        <f t="shared" si="45"/>
        <v>0.10527791566028114</v>
      </c>
      <c r="BE25" s="81">
        <f t="shared" si="45"/>
        <v>0.10862251641775383</v>
      </c>
      <c r="BF25" s="81">
        <f>BF14/BF17</f>
        <v>8.524513413824425E-2</v>
      </c>
      <c r="BG25" s="93"/>
      <c r="BH25" s="81">
        <f t="shared" si="45"/>
        <v>0.37128819383556994</v>
      </c>
      <c r="BI25" s="81">
        <f t="shared" ref="BI25:BL25" si="46">BI14/BI17</f>
        <v>0.31655108500354184</v>
      </c>
      <c r="BJ25" s="81">
        <f t="shared" si="46"/>
        <v>0.37651972775219283</v>
      </c>
      <c r="BK25" s="81">
        <f t="shared" si="46"/>
        <v>0.45546604510516608</v>
      </c>
      <c r="BL25" s="81">
        <f t="shared" si="46"/>
        <v>0.41454258860029097</v>
      </c>
      <c r="BM25" s="93">
        <f t="shared" ref="BM25" si="47">BM14/BM17</f>
        <v>0.39404830290316251</v>
      </c>
      <c r="BN25" s="429">
        <v>0.29517378454704307</v>
      </c>
      <c r="BO25" s="429">
        <v>0.2977372558513327</v>
      </c>
      <c r="BP25" s="429">
        <v>0.17081939314642405</v>
      </c>
      <c r="BQ25" s="429">
        <v>0.10019908198553321</v>
      </c>
      <c r="BR25" s="373"/>
    </row>
    <row r="26" spans="2:70" s="80" customFormat="1" x14ac:dyDescent="0.3">
      <c r="B26" s="80" t="s">
        <v>46</v>
      </c>
      <c r="C26" s="81">
        <f>C22/C17</f>
        <v>0.74491179799061191</v>
      </c>
      <c r="D26" s="81">
        <f t="shared" ref="D26:H26" si="48">D22/D17</f>
        <v>0.87227998655217753</v>
      </c>
      <c r="E26" s="81">
        <f t="shared" si="48"/>
        <v>0.88384554758469946</v>
      </c>
      <c r="F26" s="81">
        <f t="shared" si="48"/>
        <v>0.81672389408047641</v>
      </c>
      <c r="G26" s="93">
        <f>G22/G17</f>
        <v>0.8017010408099684</v>
      </c>
      <c r="H26" s="93">
        <f>H22/H17</f>
        <v>0.83410466165383579</v>
      </c>
      <c r="I26" s="81"/>
      <c r="J26" s="81"/>
      <c r="K26" s="81"/>
      <c r="L26" s="81"/>
      <c r="M26" s="81"/>
      <c r="N26" s="93"/>
      <c r="O26" s="81">
        <f t="shared" ref="O26" si="49">O22/O17</f>
        <v>0.70482621545295698</v>
      </c>
      <c r="P26" s="81">
        <f t="shared" ref="P26:R26" si="50">P22/P17</f>
        <v>0.7022627441486673</v>
      </c>
      <c r="Q26" s="81">
        <f t="shared" si="50"/>
        <v>0.82918060685357597</v>
      </c>
      <c r="R26" s="93">
        <f t="shared" si="50"/>
        <v>0.89980091801446682</v>
      </c>
      <c r="S26" s="81"/>
      <c r="T26" s="4">
        <f t="shared" ref="T26" si="51">T21-T18</f>
        <v>-2</v>
      </c>
      <c r="U26" s="81"/>
      <c r="V26" s="81"/>
      <c r="W26" s="81"/>
      <c r="X26" s="84"/>
      <c r="Y26" s="81">
        <f t="shared" ref="Y26:AC26" si="52">Y22/Y17</f>
        <v>0.8651219432493864</v>
      </c>
      <c r="Z26" s="81">
        <f t="shared" si="52"/>
        <v>0.839156383989618</v>
      </c>
      <c r="AA26" s="81">
        <f t="shared" si="52"/>
        <v>0.82910444599211142</v>
      </c>
      <c r="AB26" s="81">
        <f>AB22/AB17</f>
        <v>0.84227805342049522</v>
      </c>
      <c r="AC26" s="81">
        <f>AC22/AC17</f>
        <v>0.85825846191791988</v>
      </c>
      <c r="AD26" s="84">
        <f t="shared" ref="AD26:AJ26" si="53">AD22/AD17</f>
        <v>0.57451782619091929</v>
      </c>
      <c r="AE26" s="84">
        <f t="shared" si="53"/>
        <v>0.77214107097006079</v>
      </c>
      <c r="AF26" s="84">
        <f t="shared" si="53"/>
        <v>0.77268483458179271</v>
      </c>
      <c r="AG26" s="84">
        <f t="shared" si="53"/>
        <v>0.65373394068674007</v>
      </c>
      <c r="AH26" s="84">
        <f>AH22/AH17</f>
        <v>0.72803009146788422</v>
      </c>
      <c r="AI26" s="84">
        <f>AI22/AI17</f>
        <v>0.72733597359233626</v>
      </c>
      <c r="AJ26" s="81">
        <f t="shared" si="53"/>
        <v>0.96654768748618514</v>
      </c>
      <c r="AK26" s="81">
        <f t="shared" ref="AK26:AV26" si="54">AK22/AK17</f>
        <v>0.97755922840110088</v>
      </c>
      <c r="AL26" s="81">
        <f t="shared" si="54"/>
        <v>0.97859069767441864</v>
      </c>
      <c r="AM26" s="81">
        <f t="shared" si="54"/>
        <v>0.97267287841485373</v>
      </c>
      <c r="AN26" s="81">
        <f>AN22/AN17</f>
        <v>0.95497908873048487</v>
      </c>
      <c r="AO26" s="94"/>
      <c r="AP26" s="81"/>
      <c r="AQ26" s="81"/>
      <c r="AR26" s="81"/>
      <c r="AS26" s="81"/>
      <c r="AT26" s="81"/>
      <c r="AU26" s="93"/>
      <c r="AV26" s="81">
        <f t="shared" si="54"/>
        <v>0.80224081953533133</v>
      </c>
      <c r="AW26" s="81">
        <f t="shared" ref="AW26:BH26" si="55">AW22/AW17</f>
        <v>0.86785240622931104</v>
      </c>
      <c r="AX26" s="81">
        <f t="shared" si="55"/>
        <v>0.86096616145744342</v>
      </c>
      <c r="AY26" s="81">
        <f t="shared" si="55"/>
        <v>0.85698757660197289</v>
      </c>
      <c r="AZ26" s="81">
        <f>AZ22/AZ17</f>
        <v>0.8619775921864018</v>
      </c>
      <c r="BA26" s="93">
        <f>BA22/BA17</f>
        <v>0.89253926728176336</v>
      </c>
      <c r="BB26" s="81">
        <f t="shared" si="55"/>
        <v>0.87243511984906241</v>
      </c>
      <c r="BC26" s="81">
        <f t="shared" si="55"/>
        <v>0.89649681692375616</v>
      </c>
      <c r="BD26" s="81">
        <f t="shared" si="55"/>
        <v>0.89472208433971889</v>
      </c>
      <c r="BE26" s="81">
        <f t="shared" si="55"/>
        <v>0.89137748358224622</v>
      </c>
      <c r="BF26" s="81">
        <f>BF22/BF17</f>
        <v>0.91475486586175569</v>
      </c>
      <c r="BG26" s="93"/>
      <c r="BH26" s="81">
        <f t="shared" si="55"/>
        <v>0.62871180616443012</v>
      </c>
      <c r="BI26" s="81">
        <f t="shared" ref="BI26:BL26" si="56">BI22/BI17</f>
        <v>0.68344891499645821</v>
      </c>
      <c r="BJ26" s="81">
        <f t="shared" si="56"/>
        <v>0.62348027224780722</v>
      </c>
      <c r="BK26" s="81">
        <f t="shared" si="56"/>
        <v>0.54453395489483392</v>
      </c>
      <c r="BL26" s="81">
        <f t="shared" si="56"/>
        <v>0.58545741139970897</v>
      </c>
      <c r="BM26" s="93">
        <f t="shared" ref="BM26" si="57">BM22/BM17</f>
        <v>0.60595169709683749</v>
      </c>
      <c r="BN26" s="429">
        <v>0.70482621545295698</v>
      </c>
      <c r="BO26" s="429">
        <v>0.7022627441486673</v>
      </c>
      <c r="BP26" s="429">
        <v>0.82918060685357597</v>
      </c>
      <c r="BQ26" s="429">
        <v>0.89980091801446682</v>
      </c>
      <c r="BR26" s="373"/>
    </row>
    <row r="27" spans="2:70" s="80" customFormat="1" x14ac:dyDescent="0.3">
      <c r="B27" s="80" t="s">
        <v>40</v>
      </c>
      <c r="C27" s="80">
        <f>C15/C5</f>
        <v>2.0769424465972999</v>
      </c>
      <c r="D27" s="80">
        <f t="shared" ref="D27:H27" si="58">D15/D5</f>
        <v>2.4031383467351786</v>
      </c>
      <c r="E27" s="80">
        <f t="shared" si="58"/>
        <v>2.4558001224464125</v>
      </c>
      <c r="F27" s="80">
        <f t="shared" si="58"/>
        <v>1.8720200415846964</v>
      </c>
      <c r="G27" s="94">
        <f>G15/G5</f>
        <v>2.0772444359046527</v>
      </c>
      <c r="H27" s="94">
        <f>H15/H5</f>
        <v>2.1107878441031644</v>
      </c>
      <c r="I27" s="80">
        <f t="shared" ref="I27:O27" si="59">I15/I5</f>
        <v>0</v>
      </c>
      <c r="J27" s="80">
        <f t="shared" si="59"/>
        <v>0</v>
      </c>
      <c r="K27" s="80">
        <f t="shared" si="59"/>
        <v>0</v>
      </c>
      <c r="L27" s="80">
        <f t="shared" si="59"/>
        <v>0</v>
      </c>
      <c r="M27" s="418">
        <f t="shared" si="59"/>
        <v>0</v>
      </c>
      <c r="N27" s="94"/>
      <c r="O27" s="80">
        <f t="shared" si="59"/>
        <v>2.2699402069819814</v>
      </c>
      <c r="P27" s="80">
        <f t="shared" ref="P27:R27" si="60">P15/P5</f>
        <v>1.4751283171230649</v>
      </c>
      <c r="Q27" s="80">
        <f t="shared" si="60"/>
        <v>2.0419260039027938</v>
      </c>
      <c r="R27" s="94">
        <f t="shared" si="60"/>
        <v>2.2783613978656803</v>
      </c>
      <c r="T27" s="4">
        <f t="shared" ref="T27" si="61">T22-T19</f>
        <v>0</v>
      </c>
      <c r="X27" s="85"/>
      <c r="Y27" s="418">
        <f t="shared" ref="Y27:AC27" si="62">Y15/Y5</f>
        <v>1.6102795764088691</v>
      </c>
      <c r="Z27" s="418">
        <f t="shared" si="62"/>
        <v>1.4696939020408164</v>
      </c>
      <c r="AA27" s="418">
        <f t="shared" si="62"/>
        <v>1.5840798530612246</v>
      </c>
      <c r="AB27" s="418">
        <f>AB15/AB5</f>
        <v>1.0882240546072122</v>
      </c>
      <c r="AC27" s="418">
        <f>AC15/AC5</f>
        <v>1.162992307228631</v>
      </c>
      <c r="AD27" s="85">
        <f t="shared" ref="AD27:AJ27" si="63">AD15/AD5</f>
        <v>1.0677270745901106</v>
      </c>
      <c r="AE27" s="85">
        <f t="shared" si="63"/>
        <v>1.5339480004697472</v>
      </c>
      <c r="AF27" s="85">
        <f t="shared" si="63"/>
        <v>1.4421863891941147</v>
      </c>
      <c r="AG27" s="85">
        <f t="shared" si="63"/>
        <v>1.2922988027896372</v>
      </c>
      <c r="AH27" s="85">
        <f>AH15/AH5</f>
        <v>1.6955719006582</v>
      </c>
      <c r="AI27" s="85">
        <f>AI15/AI5</f>
        <v>1.6525651303044637</v>
      </c>
      <c r="AJ27" s="80">
        <f t="shared" si="63"/>
        <v>5.8300921901036009</v>
      </c>
      <c r="AK27" s="80">
        <f t="shared" ref="AK27:AV27" si="64">AK15/AK5</f>
        <v>8.5914888401496583</v>
      </c>
      <c r="AL27" s="80">
        <f t="shared" si="64"/>
        <v>8.321506902335182</v>
      </c>
      <c r="AM27" s="80">
        <f t="shared" si="64"/>
        <v>8.7131299187201652</v>
      </c>
      <c r="AN27" s="418">
        <f>AN15/AN5</f>
        <v>23.013173784027867</v>
      </c>
      <c r="AO27" s="94"/>
      <c r="AU27" s="94"/>
      <c r="AV27" s="80">
        <f t="shared" si="64"/>
        <v>1.9555244485588439</v>
      </c>
      <c r="AW27" s="80">
        <f t="shared" ref="AW27:BH27" si="65">AW15/AW5</f>
        <v>2.1544242328822691</v>
      </c>
      <c r="AX27" s="80">
        <f t="shared" si="65"/>
        <v>1.9939809151147965</v>
      </c>
      <c r="AY27" s="80">
        <f t="shared" si="65"/>
        <v>2.4095424221796038</v>
      </c>
      <c r="AZ27" s="80">
        <f>AZ15/AZ5</f>
        <v>2.9779687142353071</v>
      </c>
      <c r="BA27" s="94">
        <f>BA15/BA5</f>
        <v>2.6430994599789086</v>
      </c>
      <c r="BB27" s="80">
        <f t="shared" si="65"/>
        <v>2.6695809206233254</v>
      </c>
      <c r="BC27" s="80">
        <f t="shared" si="65"/>
        <v>0.96897879957088884</v>
      </c>
      <c r="BD27" s="80">
        <f t="shared" si="65"/>
        <v>3.1412578969546621</v>
      </c>
      <c r="BE27" s="80">
        <f t="shared" si="65"/>
        <v>3.640938350156731</v>
      </c>
      <c r="BF27" s="80">
        <f>BF15/BF5</f>
        <v>4.2918466918082165</v>
      </c>
      <c r="BG27" s="94"/>
      <c r="BH27" s="80">
        <f t="shared" si="65"/>
        <v>1.5661999137725833</v>
      </c>
      <c r="BI27" s="80">
        <f t="shared" ref="BI27:BL27" si="66">BI15/BI5</f>
        <v>1.2400198600111465</v>
      </c>
      <c r="BJ27" s="80">
        <f t="shared" si="66"/>
        <v>1.1118729976465069</v>
      </c>
      <c r="BK27" s="80">
        <f t="shared" si="66"/>
        <v>1.2322942952937876</v>
      </c>
      <c r="BL27" s="80">
        <f t="shared" si="66"/>
        <v>1.5219079397437618</v>
      </c>
      <c r="BM27" s="94">
        <f t="shared" ref="BM27" si="67">BM15/BM5</f>
        <v>1.6287715789685135</v>
      </c>
      <c r="BN27" s="429">
        <v>2.2699402069819814</v>
      </c>
      <c r="BO27" s="429">
        <v>1.4751283171230649</v>
      </c>
      <c r="BP27" s="429">
        <v>2.0419260039027938</v>
      </c>
      <c r="BQ27" s="429">
        <v>2.2783613978656803</v>
      </c>
      <c r="BR27" s="373"/>
    </row>
    <row r="28" spans="2:70" s="80" customFormat="1" x14ac:dyDescent="0.3">
      <c r="B28" s="80" t="s">
        <v>48</v>
      </c>
      <c r="C28" s="80">
        <f>C14/C5</f>
        <v>0.52980351437948459</v>
      </c>
      <c r="D28" s="80">
        <f t="shared" ref="D28:H28" si="68">D14/D5</f>
        <v>0.30692886196199498</v>
      </c>
      <c r="E28" s="80">
        <f t="shared" si="68"/>
        <v>0.28525211846419113</v>
      </c>
      <c r="F28" s="80">
        <f t="shared" si="68"/>
        <v>0.34309654342494766</v>
      </c>
      <c r="G28" s="94">
        <f>G14/G5</f>
        <v>0.41191540962317685</v>
      </c>
      <c r="H28" s="94">
        <f>H14/H5</f>
        <v>0.35016986357446506</v>
      </c>
      <c r="I28" s="80">
        <f t="shared" ref="I28:O28" si="69">I14/I5</f>
        <v>0</v>
      </c>
      <c r="J28" s="80">
        <f t="shared" si="69"/>
        <v>0</v>
      </c>
      <c r="K28" s="80">
        <f t="shared" si="69"/>
        <v>0</v>
      </c>
      <c r="L28" s="80">
        <f t="shared" si="69"/>
        <v>0</v>
      </c>
      <c r="M28" s="418">
        <f t="shared" si="69"/>
        <v>0</v>
      </c>
      <c r="N28" s="94"/>
      <c r="O28" s="80">
        <f t="shared" si="69"/>
        <v>0.70829374019494551</v>
      </c>
      <c r="P28" s="80">
        <f t="shared" ref="P28:R28" si="70">P14/P5</f>
        <v>0.46786896980983594</v>
      </c>
      <c r="Q28" s="80">
        <f t="shared" si="70"/>
        <v>0.36520284258745134</v>
      </c>
      <c r="R28" s="94">
        <f t="shared" si="70"/>
        <v>0.23840435247110256</v>
      </c>
      <c r="T28" s="4">
        <f t="shared" ref="T28" si="71">T23-T20</f>
        <v>-791</v>
      </c>
      <c r="X28" s="85"/>
      <c r="Y28" s="418">
        <f t="shared" ref="Y28:AC28" si="72">Y14/Y5</f>
        <v>0.21719138009122943</v>
      </c>
      <c r="Z28" s="418">
        <f t="shared" si="72"/>
        <v>0.23639088163265307</v>
      </c>
      <c r="AA28" s="418">
        <f t="shared" si="72"/>
        <v>0.27071220408163266</v>
      </c>
      <c r="AB28" s="418">
        <f>AB14/AB5</f>
        <v>0.17163681620729088</v>
      </c>
      <c r="AC28" s="418">
        <f>AC14/AC5</f>
        <v>0.16484431840421315</v>
      </c>
      <c r="AD28" s="85">
        <f t="shared" ref="AD28:AJ28" si="73">AD14/AD5</f>
        <v>0.46563127891113953</v>
      </c>
      <c r="AE28" s="85">
        <f t="shared" si="73"/>
        <v>0.35847365891178185</v>
      </c>
      <c r="AF28" s="85">
        <f t="shared" si="73"/>
        <v>0.34415772319541638</v>
      </c>
      <c r="AG28" s="85">
        <f t="shared" si="73"/>
        <v>0.46399153986164215</v>
      </c>
      <c r="AH28" s="85">
        <f>AH14/AH5</f>
        <v>0.47965715288557637</v>
      </c>
      <c r="AI28" s="85">
        <f>AI14/AI5</f>
        <v>0.46783820561495765</v>
      </c>
      <c r="AJ28" s="80">
        <f t="shared" si="73"/>
        <v>0.19503006592769687</v>
      </c>
      <c r="AK28" s="80">
        <f t="shared" ref="AK28:AV28" si="74">AK14/AK5</f>
        <v>0.1927996387562895</v>
      </c>
      <c r="AL28" s="80">
        <f t="shared" si="74"/>
        <v>0.17815765707650627</v>
      </c>
      <c r="AM28" s="80">
        <f t="shared" si="74"/>
        <v>0.2381047606760418</v>
      </c>
      <c r="AN28" s="418">
        <f>AN14/AN5</f>
        <v>1.0360740549606502</v>
      </c>
      <c r="AO28" s="94"/>
      <c r="AU28" s="94"/>
      <c r="AV28" s="80">
        <f t="shared" si="74"/>
        <v>0.38672291232562012</v>
      </c>
      <c r="AW28" s="80">
        <f t="shared" ref="AW28:BH28" si="75">AW14/AW5</f>
        <v>0.28470197833665445</v>
      </c>
      <c r="AX28" s="80">
        <f t="shared" si="75"/>
        <v>0.27723082060900978</v>
      </c>
      <c r="AY28" s="80">
        <f t="shared" si="75"/>
        <v>0.34459450107625733</v>
      </c>
      <c r="AZ28" s="80">
        <f>AZ14/AZ5</f>
        <v>0.4110264123323224</v>
      </c>
      <c r="BA28" s="94">
        <f>BA14/BA5</f>
        <v>0.28402940461650922</v>
      </c>
      <c r="BB28" s="80">
        <f t="shared" si="75"/>
        <v>0.34054477019254425</v>
      </c>
      <c r="BC28" s="80">
        <f t="shared" si="75"/>
        <v>0.10029239008898469</v>
      </c>
      <c r="BD28" s="80">
        <f t="shared" si="75"/>
        <v>0.33070508394278497</v>
      </c>
      <c r="BE28" s="80">
        <f t="shared" si="75"/>
        <v>0.39548788571592902</v>
      </c>
      <c r="BF28" s="80">
        <f>BF14/BF5</f>
        <v>0.36585904694397126</v>
      </c>
      <c r="BG28" s="94"/>
      <c r="BH28" s="80">
        <f t="shared" si="75"/>
        <v>0.58151153717004778</v>
      </c>
      <c r="BI28" s="80">
        <f t="shared" ref="BI28:BL28" si="76">BI14/BI5</f>
        <v>0.39252963211246844</v>
      </c>
      <c r="BJ28" s="80">
        <f t="shared" si="76"/>
        <v>0.41864211836887733</v>
      </c>
      <c r="BK28" s="80">
        <f t="shared" si="76"/>
        <v>0.56126820908311914</v>
      </c>
      <c r="BL28" s="80">
        <f t="shared" si="76"/>
        <v>0.63089565695271477</v>
      </c>
      <c r="BM28" s="94">
        <f t="shared" ref="BM28" si="77">BM14/BM5</f>
        <v>0.64181467650944712</v>
      </c>
      <c r="BN28" s="429">
        <v>0.70829374019494551</v>
      </c>
      <c r="BO28" s="429">
        <v>0.46786896980983594</v>
      </c>
      <c r="BP28" s="429">
        <v>0.36520284258745134</v>
      </c>
      <c r="BQ28" s="429">
        <v>0.23840435247110256</v>
      </c>
      <c r="BR28" s="373"/>
    </row>
    <row r="29" spans="2:70" s="80" customFormat="1" x14ac:dyDescent="0.3">
      <c r="B29" s="80" t="s">
        <v>41</v>
      </c>
      <c r="C29" s="80">
        <f>C17/C6</f>
        <v>49.626391529721694</v>
      </c>
      <c r="D29" s="80">
        <f t="shared" ref="D29:H29" si="78">D17/D6</f>
        <v>86.734858366734372</v>
      </c>
      <c r="E29" s="80">
        <f t="shared" si="78"/>
        <v>90.651824557407636</v>
      </c>
      <c r="F29" s="80">
        <f t="shared" si="78"/>
        <v>61.903156752454905</v>
      </c>
      <c r="G29" s="94">
        <f>G17/G6</f>
        <v>64.300699919347494</v>
      </c>
      <c r="H29" s="94">
        <f>H17/H6</f>
        <v>74.876365701856344</v>
      </c>
      <c r="I29" s="80">
        <f t="shared" ref="I29:O29" si="79">I17/I6</f>
        <v>0</v>
      </c>
      <c r="J29" s="80">
        <f t="shared" si="79"/>
        <v>0</v>
      </c>
      <c r="K29" s="80">
        <f t="shared" si="79"/>
        <v>0</v>
      </c>
      <c r="L29" s="80">
        <f t="shared" si="79"/>
        <v>0</v>
      </c>
      <c r="M29" s="418">
        <f t="shared" si="79"/>
        <v>0</v>
      </c>
      <c r="N29" s="94"/>
      <c r="O29" s="80">
        <f t="shared" si="79"/>
        <v>97.446748582175331</v>
      </c>
      <c r="P29" s="80">
        <f t="shared" ref="P29:R29" si="80">P17/P6</f>
        <v>83.098613102725082</v>
      </c>
      <c r="Q29" s="80">
        <f t="shared" si="80"/>
        <v>113.7005588464822</v>
      </c>
      <c r="R29" s="94">
        <f t="shared" si="80"/>
        <v>105.0879129005037</v>
      </c>
      <c r="T29" s="4">
        <f t="shared" ref="T29" si="81">T24-T21</f>
        <v>0</v>
      </c>
      <c r="X29" s="85"/>
      <c r="Y29" s="418">
        <f t="shared" ref="Y29:AC29" si="82">Y17/Y6</f>
        <v>342.05102999143099</v>
      </c>
      <c r="Z29" s="418">
        <f t="shared" si="82"/>
        <v>300.31276563803169</v>
      </c>
      <c r="AA29" s="418">
        <f t="shared" si="82"/>
        <v>243.17015288220551</v>
      </c>
      <c r="AB29" s="418">
        <f>AB17/AB6</f>
        <v>259.10058399545971</v>
      </c>
      <c r="AC29" s="418">
        <f>AC17/AC6</f>
        <v>272.41889726409829</v>
      </c>
      <c r="AD29" s="85">
        <f t="shared" ref="AD29:AJ29" si="83">AD17/AD6</f>
        <v>288.9690004718255</v>
      </c>
      <c r="AE29" s="85">
        <f t="shared" si="83"/>
        <v>572.80759306959033</v>
      </c>
      <c r="AF29" s="85">
        <f t="shared" si="83"/>
        <v>592.68351660440601</v>
      </c>
      <c r="AG29" s="85">
        <f t="shared" si="83"/>
        <v>413.17541856925419</v>
      </c>
      <c r="AH29" s="85">
        <f>AH17/AH6</f>
        <v>562.62799254107335</v>
      </c>
      <c r="AI29" s="85">
        <f>AI17/AI6</f>
        <v>547.36762418172134</v>
      </c>
      <c r="AJ29" s="80">
        <f t="shared" si="83"/>
        <v>112.17670325840739</v>
      </c>
      <c r="AK29" s="80">
        <f t="shared" ref="AK29:AV29" si="84">AK17/AK6</f>
        <v>173.98011808966453</v>
      </c>
      <c r="AL29" s="80">
        <f t="shared" si="84"/>
        <v>126.62700983567937</v>
      </c>
      <c r="AM29" s="80">
        <f t="shared" si="84"/>
        <v>180.43621256245157</v>
      </c>
      <c r="AN29" s="418">
        <f>AN17/AN6</f>
        <v>478.5060961706123</v>
      </c>
      <c r="AO29" s="94"/>
      <c r="AU29" s="94"/>
      <c r="AV29" s="80">
        <f t="shared" si="84"/>
        <v>337.19224355047305</v>
      </c>
      <c r="AW29" s="80">
        <f t="shared" ref="AW29:BH29" si="85">AW17/AW6</f>
        <v>539.97623243791429</v>
      </c>
      <c r="AX29" s="80">
        <f t="shared" si="85"/>
        <v>488.20762942779294</v>
      </c>
      <c r="AY29" s="80">
        <f t="shared" si="85"/>
        <v>446.7787232547708</v>
      </c>
      <c r="AZ29" s="80">
        <f>AZ17/AZ6</f>
        <v>438.23683875745695</v>
      </c>
      <c r="BA29" s="94">
        <f>BA17/BA6</f>
        <v>517.73078424300513</v>
      </c>
      <c r="BB29" s="80">
        <f t="shared" si="85"/>
        <v>897.43601948703827</v>
      </c>
      <c r="BC29" s="80">
        <f t="shared" si="85"/>
        <v>1013.2624918848851</v>
      </c>
      <c r="BD29" s="80">
        <f t="shared" si="85"/>
        <v>1089.1175087529798</v>
      </c>
      <c r="BE29" s="80">
        <f t="shared" si="85"/>
        <v>1290.3281126585439</v>
      </c>
      <c r="BF29" s="80">
        <f>BF17/BF6</f>
        <v>1429.9984757739744</v>
      </c>
      <c r="BG29" s="94"/>
      <c r="BH29" s="80">
        <f t="shared" si="85"/>
        <v>610.14168727504034</v>
      </c>
      <c r="BI29" s="80">
        <f t="shared" ref="BI29:BL29" si="86">BI17/BI6</f>
        <v>764.17598644090299</v>
      </c>
      <c r="BJ29" s="80">
        <f t="shared" si="86"/>
        <v>645.53206018337244</v>
      </c>
      <c r="BK29" s="80">
        <f t="shared" si="86"/>
        <v>551.80532302739675</v>
      </c>
      <c r="BL29" s="80">
        <f t="shared" si="86"/>
        <v>642.58830851967571</v>
      </c>
      <c r="BM29" s="94">
        <f t="shared" ref="BM29" si="87">BM17/BM6</f>
        <v>658.30813317553043</v>
      </c>
      <c r="BN29" s="429">
        <v>97.446748582175331</v>
      </c>
      <c r="BO29" s="429">
        <v>83.098613102725082</v>
      </c>
      <c r="BP29" s="429">
        <v>113.7005588464822</v>
      </c>
      <c r="BQ29" s="429">
        <v>105.0879129005037</v>
      </c>
      <c r="BR29" s="373"/>
    </row>
    <row r="30" spans="2:70" s="80" customFormat="1" x14ac:dyDescent="0.3">
      <c r="B30" s="80" t="s">
        <v>42</v>
      </c>
      <c r="C30" s="80">
        <f>C14/C6</f>
        <v>12.659106987530629</v>
      </c>
      <c r="D30" s="80">
        <f t="shared" ref="D30:H30" si="88">D14/D6</f>
        <v>11.077777276994293</v>
      </c>
      <c r="E30" s="80">
        <f t="shared" si="88"/>
        <v>10.52961304191358</v>
      </c>
      <c r="F30" s="80">
        <f t="shared" si="88"/>
        <v>11.345369513715793</v>
      </c>
      <c r="G30" s="94">
        <f>G14/G6</f>
        <v>12.750761869197154</v>
      </c>
      <c r="H30" s="94">
        <f>H14/H6</f>
        <v>12.421640022240584</v>
      </c>
      <c r="I30" s="80">
        <f t="shared" ref="I30:O30" si="89">I14/I6</f>
        <v>0</v>
      </c>
      <c r="J30" s="80">
        <f t="shared" si="89"/>
        <v>0</v>
      </c>
      <c r="K30" s="80">
        <f t="shared" si="89"/>
        <v>0</v>
      </c>
      <c r="L30" s="80">
        <f t="shared" si="89"/>
        <v>0</v>
      </c>
      <c r="M30" s="418">
        <f t="shared" si="89"/>
        <v>0</v>
      </c>
      <c r="N30" s="94"/>
      <c r="O30" s="80">
        <f t="shared" si="89"/>
        <v>28.763725570804894</v>
      </c>
      <c r="P30" s="80">
        <f t="shared" ref="P30:R30" si="90">P14/P6</f>
        <v>24.741553030256966</v>
      </c>
      <c r="Q30" s="80">
        <f t="shared" si="90"/>
        <v>19.422260462565365</v>
      </c>
      <c r="R30" s="94">
        <f t="shared" si="90"/>
        <v>10.529712400406142</v>
      </c>
      <c r="T30" s="4">
        <f t="shared" ref="T30" si="91">T25-T22</f>
        <v>793</v>
      </c>
      <c r="X30" s="85"/>
      <c r="Y30" s="418">
        <f t="shared" ref="Y30:AC30" si="92">Y14/Y6</f>
        <v>46.135178234790061</v>
      </c>
      <c r="Z30" s="418">
        <f t="shared" si="92"/>
        <v>48.303391159299416</v>
      </c>
      <c r="AA30" s="418">
        <f t="shared" si="92"/>
        <v>41.556697994987466</v>
      </c>
      <c r="AB30" s="418">
        <f>AB14/AB6</f>
        <v>40.865848467650395</v>
      </c>
      <c r="AC30" s="418">
        <f>AC14/AC6</f>
        <v>38.613073500837437</v>
      </c>
      <c r="AD30" s="85">
        <f t="shared" ref="AD30:AJ30" si="93">AD14/AD6</f>
        <v>122.95115848418959</v>
      </c>
      <c r="AE30" s="85">
        <f t="shared" si="93"/>
        <v>130.51932469705403</v>
      </c>
      <c r="AF30" s="85">
        <f t="shared" si="93"/>
        <v>134.72595161757539</v>
      </c>
      <c r="AG30" s="85">
        <f t="shared" si="93"/>
        <v>143.06862399308241</v>
      </c>
      <c r="AH30" s="85">
        <f>AH14/AH6</f>
        <v>153.0178836690036</v>
      </c>
      <c r="AI30" s="85">
        <f>AI14/AI6</f>
        <v>149.24746033458504</v>
      </c>
      <c r="AJ30" s="80">
        <f t="shared" si="93"/>
        <v>3.7525701341697162</v>
      </c>
      <c r="AK30" s="80">
        <f t="shared" ref="AK30:AV30" si="94">AK14/AK6</f>
        <v>3.9042480927996657</v>
      </c>
      <c r="AL30" s="80">
        <f t="shared" si="94"/>
        <v>2.7109959361564284</v>
      </c>
      <c r="AM30" s="80">
        <f t="shared" si="94"/>
        <v>4.9308023190574151</v>
      </c>
      <c r="AN30" s="418">
        <f>AN14/AN6</f>
        <v>21.542780497619209</v>
      </c>
      <c r="AO30" s="94"/>
      <c r="AU30" s="94"/>
      <c r="AV30" s="80">
        <f t="shared" si="94"/>
        <v>66.68286174358451</v>
      </c>
      <c r="AW30" s="80">
        <f t="shared" ref="AW30:BH30" si="95">AW14/AW6</f>
        <v>71.35655981003265</v>
      </c>
      <c r="AX30" s="80">
        <f t="shared" si="95"/>
        <v>67.87738072510804</v>
      </c>
      <c r="AY30" s="80">
        <f t="shared" si="95"/>
        <v>63.894907935341266</v>
      </c>
      <c r="AZ30" s="80">
        <f>AZ14/AZ6</f>
        <v>60.486503677923821</v>
      </c>
      <c r="BA30" s="94">
        <f>BA14/BA6</f>
        <v>55.635729425540639</v>
      </c>
      <c r="BB30" s="80">
        <f t="shared" si="95"/>
        <v>114.48131826899856</v>
      </c>
      <c r="BC30" s="80">
        <f t="shared" si="95"/>
        <v>104.87589320185229</v>
      </c>
      <c r="BD30" s="80">
        <f t="shared" si="95"/>
        <v>114.6600212306317</v>
      </c>
      <c r="BE30" s="80">
        <f t="shared" si="95"/>
        <v>140.158686601542</v>
      </c>
      <c r="BF30" s="80">
        <f>BF14/BF6</f>
        <v>121.90041188483727</v>
      </c>
      <c r="BG30" s="94"/>
      <c r="BH30" s="80">
        <f t="shared" si="95"/>
        <v>226.53840505213688</v>
      </c>
      <c r="BI30" s="80">
        <f t="shared" ref="BI30:BL30" si="96">BI14/BI6</f>
        <v>241.90073764151973</v>
      </c>
      <c r="BJ30" s="80">
        <f t="shared" si="96"/>
        <v>243.05555555555554</v>
      </c>
      <c r="BK30" s="80">
        <f t="shared" si="96"/>
        <v>251.32858814726706</v>
      </c>
      <c r="BL30" s="80">
        <f t="shared" si="96"/>
        <v>266.38022081802876</v>
      </c>
      <c r="BM30" s="94">
        <f t="shared" ref="BM30" si="97">BM14/BM6</f>
        <v>259.40520266516683</v>
      </c>
      <c r="BN30" s="429">
        <v>28.763725570804894</v>
      </c>
      <c r="BO30" s="429">
        <v>24.741553030256966</v>
      </c>
      <c r="BP30" s="429">
        <v>19.422260462565365</v>
      </c>
      <c r="BQ30" s="429">
        <v>10.529712400406142</v>
      </c>
      <c r="BR30" s="373"/>
    </row>
    <row r="31" spans="2:70" s="80" customFormat="1" x14ac:dyDescent="0.3">
      <c r="B31" s="80" t="s">
        <v>43</v>
      </c>
      <c r="C31" s="80">
        <f>C13/C6</f>
        <v>36.912374371070591</v>
      </c>
      <c r="D31" s="80">
        <f t="shared" ref="D31:H31" si="98">D13/D6</f>
        <v>75.158199370500256</v>
      </c>
      <c r="E31" s="80">
        <f t="shared" si="98"/>
        <v>79.913704099695536</v>
      </c>
      <c r="F31" s="80">
        <f t="shared" si="98"/>
        <v>50.447711075230984</v>
      </c>
      <c r="G31" s="94">
        <f>G13/G6</f>
        <v>51.455668564463849</v>
      </c>
      <c r="H31" s="94">
        <f>H13/H6</f>
        <v>62.454725679615755</v>
      </c>
      <c r="I31" s="80">
        <f t="shared" ref="I31:O31" si="99">I13/I6</f>
        <v>0</v>
      </c>
      <c r="J31" s="80">
        <f t="shared" si="99"/>
        <v>2910.1832449084372</v>
      </c>
      <c r="K31" s="80">
        <f t="shared" si="99"/>
        <v>2721.8416955292173</v>
      </c>
      <c r="L31" s="80">
        <f t="shared" si="99"/>
        <v>3142.3655305770776</v>
      </c>
      <c r="M31" s="418">
        <f t="shared" si="99"/>
        <v>3288.1854222821203</v>
      </c>
      <c r="N31" s="94"/>
      <c r="O31" s="80">
        <f t="shared" si="99"/>
        <v>0</v>
      </c>
      <c r="P31" s="80">
        <f t="shared" ref="P31:R31" si="100">P13/P6</f>
        <v>0</v>
      </c>
      <c r="Q31" s="80">
        <f t="shared" si="100"/>
        <v>0</v>
      </c>
      <c r="R31" s="94">
        <f t="shared" si="100"/>
        <v>0</v>
      </c>
      <c r="T31" s="4">
        <f t="shared" ref="T31" si="101">T26-T23</f>
        <v>-4</v>
      </c>
      <c r="X31" s="85"/>
      <c r="Y31" s="418">
        <f t="shared" ref="Y31:AC31" si="102">Y13/Y6</f>
        <v>0</v>
      </c>
      <c r="Z31" s="418">
        <f t="shared" si="102"/>
        <v>0</v>
      </c>
      <c r="AA31" s="418">
        <f t="shared" si="102"/>
        <v>0</v>
      </c>
      <c r="AB31" s="418">
        <f>AB13/AB6</f>
        <v>0</v>
      </c>
      <c r="AC31" s="418">
        <f>AC13/AC6</f>
        <v>0</v>
      </c>
      <c r="AD31" s="85">
        <f t="shared" ref="AD31:AJ31" si="103">AD13/AD6</f>
        <v>0</v>
      </c>
      <c r="AE31" s="85">
        <f t="shared" si="103"/>
        <v>0</v>
      </c>
      <c r="AF31" s="85">
        <f t="shared" si="103"/>
        <v>0</v>
      </c>
      <c r="AG31" s="85">
        <f t="shared" si="103"/>
        <v>0</v>
      </c>
      <c r="AH31" s="85">
        <f>AH13/AH6</f>
        <v>0</v>
      </c>
      <c r="AI31" s="85">
        <f>AI13/AI6</f>
        <v>0</v>
      </c>
      <c r="AJ31" s="80">
        <f t="shared" si="103"/>
        <v>0</v>
      </c>
      <c r="AK31" s="80">
        <f t="shared" ref="AK31:AV31" si="104">AK13/AK6</f>
        <v>0</v>
      </c>
      <c r="AL31" s="80">
        <f t="shared" si="104"/>
        <v>0</v>
      </c>
      <c r="AM31" s="80">
        <f t="shared" si="104"/>
        <v>0</v>
      </c>
      <c r="AN31" s="418">
        <f>AN13/AN6</f>
        <v>0</v>
      </c>
      <c r="AO31" s="94"/>
      <c r="AU31" s="94"/>
      <c r="AV31" s="80">
        <f t="shared" si="104"/>
        <v>0</v>
      </c>
      <c r="AW31" s="80">
        <f t="shared" ref="AW31:BH31" si="105">AW13/AW6</f>
        <v>0</v>
      </c>
      <c r="AX31" s="80">
        <f t="shared" si="105"/>
        <v>0</v>
      </c>
      <c r="AY31" s="80">
        <f t="shared" si="105"/>
        <v>0</v>
      </c>
      <c r="AZ31" s="80">
        <f>AZ13/AZ6</f>
        <v>0</v>
      </c>
      <c r="BA31" s="94">
        <f>BA13/BA6</f>
        <v>0</v>
      </c>
      <c r="BB31" s="80">
        <f t="shared" si="105"/>
        <v>0</v>
      </c>
      <c r="BC31" s="80">
        <f t="shared" si="105"/>
        <v>0</v>
      </c>
      <c r="BD31" s="80">
        <f t="shared" si="105"/>
        <v>0</v>
      </c>
      <c r="BE31" s="80">
        <f t="shared" si="105"/>
        <v>0</v>
      </c>
      <c r="BF31" s="80">
        <f>BF13/BF6</f>
        <v>0</v>
      </c>
      <c r="BG31" s="94"/>
      <c r="BH31" s="80">
        <f t="shared" si="105"/>
        <v>0</v>
      </c>
      <c r="BI31" s="80">
        <f t="shared" ref="BI31:BL31" si="106">BI13/BI6</f>
        <v>0</v>
      </c>
      <c r="BJ31" s="80">
        <f t="shared" si="106"/>
        <v>0</v>
      </c>
      <c r="BK31" s="80">
        <f t="shared" si="106"/>
        <v>0</v>
      </c>
      <c r="BL31" s="80">
        <f t="shared" si="106"/>
        <v>0</v>
      </c>
      <c r="BM31" s="94">
        <f t="shared" ref="BM31" si="107">BM13/BM6</f>
        <v>0</v>
      </c>
      <c r="BN31" s="429">
        <v>0</v>
      </c>
      <c r="BO31" s="429">
        <v>0</v>
      </c>
      <c r="BP31" s="429">
        <v>0</v>
      </c>
      <c r="BQ31" s="429">
        <v>0</v>
      </c>
      <c r="BR31" s="373"/>
    </row>
    <row r="32" spans="2:70" s="80" customFormat="1" x14ac:dyDescent="0.3">
      <c r="B32" s="80" t="s">
        <v>50</v>
      </c>
      <c r="C32" s="80">
        <f>(C20/C6)*100000</f>
        <v>172.67985194204269</v>
      </c>
      <c r="D32" s="80">
        <f t="shared" ref="D32:H32" si="108">(D20/D6)*100000</f>
        <v>167.32647062269231</v>
      </c>
      <c r="E32" s="80">
        <f t="shared" si="108"/>
        <v>126.47774472158896</v>
      </c>
      <c r="F32" s="80">
        <f t="shared" si="108"/>
        <v>87.325408688700563</v>
      </c>
      <c r="G32" s="94">
        <f>(G20/G6)*100000</f>
        <v>62.320048356678761</v>
      </c>
      <c r="H32" s="94"/>
      <c r="I32" s="80">
        <f t="shared" ref="I32:O32" si="109">(I20/I6)*100000</f>
        <v>10001.621008267142</v>
      </c>
      <c r="J32" s="80">
        <f t="shared" si="109"/>
        <v>14071.538593188432</v>
      </c>
      <c r="K32" s="80">
        <f t="shared" si="109"/>
        <v>13264.592799720378</v>
      </c>
      <c r="L32" s="80">
        <f t="shared" si="109"/>
        <v>10969.337419923442</v>
      </c>
      <c r="M32" s="418">
        <f t="shared" si="109"/>
        <v>11928.627583108715</v>
      </c>
      <c r="N32" s="94"/>
      <c r="O32" s="80">
        <f t="shared" si="109"/>
        <v>256.51000155017448</v>
      </c>
      <c r="P32" s="80">
        <f t="shared" ref="P32:R32" si="110">(P20/P6)*100000</f>
        <v>264.22333477371751</v>
      </c>
      <c r="Q32" s="80">
        <f t="shared" si="110"/>
        <v>244.33166255519069</v>
      </c>
      <c r="R32" s="94">
        <f t="shared" si="110"/>
        <v>212.05056155338457</v>
      </c>
      <c r="T32" s="4">
        <f t="shared" ref="T32" si="111">T27-T24</f>
        <v>0</v>
      </c>
      <c r="X32" s="85"/>
      <c r="Y32" s="418">
        <f t="shared" ref="Y32:AC32" si="112">(Y20/Y6)*100000</f>
        <v>3778.9203084832907</v>
      </c>
      <c r="Z32" s="418">
        <f t="shared" si="112"/>
        <v>3728.1067556296912</v>
      </c>
      <c r="AA32" s="418">
        <f t="shared" si="112"/>
        <v>2969.9248120300754</v>
      </c>
      <c r="AB32" s="418">
        <f>(AB20/AB6)*100000</f>
        <v>2673.0987514188423</v>
      </c>
      <c r="AC32" s="418"/>
      <c r="AD32" s="85">
        <f t="shared" ref="AD32:AJ32" si="113">(AD20/AD6)*100000</f>
        <v>2969.8298757526209</v>
      </c>
      <c r="AE32" s="85">
        <f t="shared" si="113"/>
        <v>4126.7639741980938</v>
      </c>
      <c r="AF32" s="85">
        <f t="shared" si="113"/>
        <v>4493.7910664729397</v>
      </c>
      <c r="AG32" s="85">
        <f t="shared" si="113"/>
        <v>3704.6476230929879</v>
      </c>
      <c r="AH32" s="85">
        <f>(AH20/AH6)*100000</f>
        <v>3803.0858241351684</v>
      </c>
      <c r="AI32" s="85"/>
      <c r="AJ32" s="80">
        <f t="shared" si="113"/>
        <v>133.02317476912353</v>
      </c>
      <c r="AK32" s="80">
        <f t="shared" ref="AK32:AV32" si="114">(AK20/AK6)*100000</f>
        <v>199.45135332845649</v>
      </c>
      <c r="AL32" s="80">
        <f t="shared" si="114"/>
        <v>149.87533619961914</v>
      </c>
      <c r="AM32" s="80">
        <f t="shared" si="114"/>
        <v>203.9648400972508</v>
      </c>
      <c r="AN32" s="418">
        <f>(AN20/AN6)*100000</f>
        <v>722.13710683388115</v>
      </c>
      <c r="AO32" s="94"/>
      <c r="AU32" s="94"/>
      <c r="AV32" s="80">
        <f t="shared" si="114"/>
        <v>1781.4903682526715</v>
      </c>
      <c r="AW32" s="80">
        <f t="shared" ref="AW32:BH32" si="115">(AW20/AW6)*100000</f>
        <v>2711.9199564658156</v>
      </c>
      <c r="AX32" s="80">
        <f t="shared" si="115"/>
        <v>2716.4650549297976</v>
      </c>
      <c r="AY32" s="80">
        <f t="shared" si="115"/>
        <v>2089.6272556787167</v>
      </c>
      <c r="AZ32" s="80">
        <f>(AZ20/AZ6)*100000</f>
        <v>1594.2970599326661</v>
      </c>
      <c r="BA32" s="94"/>
      <c r="BB32" s="80">
        <f t="shared" si="115"/>
        <v>6955.3797916778931</v>
      </c>
      <c r="BC32" s="80">
        <f t="shared" si="115"/>
        <v>7247.2020377835443</v>
      </c>
      <c r="BD32" s="80">
        <f t="shared" si="115"/>
        <v>8005.9501638855781</v>
      </c>
      <c r="BE32" s="80">
        <f t="shared" si="115"/>
        <v>9710.3531917712571</v>
      </c>
      <c r="BF32" s="80">
        <f>(BF20/BF6)*100000</f>
        <v>8798.3368745802654</v>
      </c>
      <c r="BG32" s="94"/>
      <c r="BH32" s="80">
        <f t="shared" si="115"/>
        <v>0</v>
      </c>
      <c r="BI32" s="80">
        <f t="shared" ref="BI32:BL32" si="116">(BI20/BI6)*100000</f>
        <v>6272.2888689323654</v>
      </c>
      <c r="BJ32" s="80">
        <f t="shared" si="116"/>
        <v>5977.1126760563375</v>
      </c>
      <c r="BK32" s="80">
        <f t="shared" si="116"/>
        <v>4813.6139516144503</v>
      </c>
      <c r="BL32" s="80">
        <f t="shared" si="116"/>
        <v>4153.9454190892611</v>
      </c>
      <c r="BM32" s="94"/>
      <c r="BN32" s="429">
        <v>256.51000155017448</v>
      </c>
      <c r="BO32" s="429">
        <v>264.22333477371751</v>
      </c>
      <c r="BP32" s="429">
        <v>244.33166255519069</v>
      </c>
      <c r="BQ32" s="429">
        <v>212.05056155338457</v>
      </c>
      <c r="BR32" s="373"/>
    </row>
    <row r="33" spans="2:70" s="80" customFormat="1" x14ac:dyDescent="0.3">
      <c r="B33" s="80" t="s">
        <v>52</v>
      </c>
      <c r="C33" s="80">
        <f>(C20/C7)*100000</f>
        <v>29.275345899666721</v>
      </c>
      <c r="D33" s="80">
        <f t="shared" ref="D33:H33" si="117">(D20/D7)*100000</f>
        <v>28.09408609175577</v>
      </c>
      <c r="E33" s="80">
        <f t="shared" si="117"/>
        <v>21.759635136084793</v>
      </c>
      <c r="F33" s="80">
        <f t="shared" si="117"/>
        <v>14.784042857142856</v>
      </c>
      <c r="G33" s="94">
        <f>(G20/G7)*100000</f>
        <v>10.602079240777025</v>
      </c>
      <c r="H33" s="94"/>
      <c r="I33" s="80">
        <f t="shared" ref="I33:O33" si="118">(I20/I7)*100000</f>
        <v>89.26429130095498</v>
      </c>
      <c r="J33" s="80">
        <f t="shared" si="118"/>
        <v>128.64962332980025</v>
      </c>
      <c r="K33" s="80">
        <f t="shared" si="118"/>
        <v>125.22233376094007</v>
      </c>
      <c r="L33" s="80">
        <f t="shared" si="118"/>
        <v>166.26613787428573</v>
      </c>
      <c r="M33" s="418">
        <f t="shared" si="118"/>
        <v>213.10207857916566</v>
      </c>
      <c r="N33" s="94"/>
      <c r="O33" s="80">
        <f t="shared" si="118"/>
        <v>84.23515535479136</v>
      </c>
      <c r="P33" s="80">
        <f t="shared" ref="P33:R33" si="119">(P20/P7)*100000</f>
        <v>86.997498821908877</v>
      </c>
      <c r="Q33" s="80">
        <f t="shared" si="119"/>
        <v>80.266695343585326</v>
      </c>
      <c r="R33" s="94">
        <f t="shared" si="119"/>
        <v>75.374320471510828</v>
      </c>
      <c r="T33" s="4">
        <f t="shared" ref="T33" si="120">T28-T25</f>
        <v>-1584</v>
      </c>
      <c r="X33" s="85"/>
      <c r="Y33" s="418">
        <f t="shared" ref="Y33:AC33" si="121">(Y20/Y7)*100000</f>
        <v>76.156351303273482</v>
      </c>
      <c r="Z33" s="418">
        <f t="shared" si="121"/>
        <v>64.110800904395433</v>
      </c>
      <c r="AA33" s="418">
        <f t="shared" si="121"/>
        <v>96.569180215061195</v>
      </c>
      <c r="AB33" s="418">
        <f>(AB20/AB7)*100000</f>
        <v>86.671595968007907</v>
      </c>
      <c r="AC33" s="418"/>
      <c r="AD33" s="85">
        <f t="shared" ref="AD33:AJ33" si="122">(AD20/AD7)*100000</f>
        <v>40.835006188842605</v>
      </c>
      <c r="AE33" s="85">
        <f t="shared" si="122"/>
        <v>57.618513066848038</v>
      </c>
      <c r="AF33" s="85">
        <f t="shared" si="122"/>
        <v>61.310863101418633</v>
      </c>
      <c r="AG33" s="85">
        <f t="shared" si="122"/>
        <v>50.891456767629904</v>
      </c>
      <c r="AH33" s="85">
        <f>(AH20/AH7)*100000</f>
        <v>46.595047273191426</v>
      </c>
      <c r="AI33" s="85"/>
      <c r="AJ33" s="80">
        <f t="shared" si="122"/>
        <v>49.440457995492579</v>
      </c>
      <c r="AK33" s="80">
        <f t="shared" ref="AK33:AV33" si="123">(AK20/AK7)*100000</f>
        <v>94.976362279173927</v>
      </c>
      <c r="AL33" s="80">
        <f t="shared" si="123"/>
        <v>71.369007553660907</v>
      </c>
      <c r="AM33" s="80">
        <f t="shared" si="123"/>
        <v>97.126114332024187</v>
      </c>
      <c r="AN33" s="418">
        <f>(AN20/AN7)*100000</f>
        <v>343.87481277803869</v>
      </c>
      <c r="AO33" s="94"/>
      <c r="AU33" s="94"/>
      <c r="AV33" s="80">
        <f t="shared" si="123"/>
        <v>99.590199004505109</v>
      </c>
      <c r="AW33" s="80">
        <f t="shared" ref="AW33:BH33" si="124">(AW20/AW7)*100000</f>
        <v>153.12086372732986</v>
      </c>
      <c r="AX33" s="80">
        <f t="shared" si="124"/>
        <v>154.21177010481142</v>
      </c>
      <c r="AY33" s="80">
        <f t="shared" si="124"/>
        <v>138.27312584749677</v>
      </c>
      <c r="AZ33" s="80">
        <f>(AZ20/AZ7)*100000</f>
        <v>119.16049074154567</v>
      </c>
      <c r="BA33" s="94"/>
      <c r="BB33" s="80">
        <f t="shared" si="124"/>
        <v>154.56399537061986</v>
      </c>
      <c r="BC33" s="80">
        <f t="shared" si="124"/>
        <v>161.04893417296765</v>
      </c>
      <c r="BD33" s="80">
        <f t="shared" si="124"/>
        <v>177.91000364190174</v>
      </c>
      <c r="BE33" s="80">
        <f t="shared" si="124"/>
        <v>215.78562648380574</v>
      </c>
      <c r="BF33" s="80">
        <f>(BF20/BF7)*100000</f>
        <v>195.51859721289475</v>
      </c>
      <c r="BG33" s="94"/>
      <c r="BH33" s="80">
        <f t="shared" si="124"/>
        <v>0</v>
      </c>
      <c r="BI33" s="80">
        <f t="shared" ref="BI33:BL33" si="125">(BI20/BI7)*100000</f>
        <v>93.059815673327776</v>
      </c>
      <c r="BJ33" s="80">
        <f t="shared" si="125"/>
        <v>73.435842687710988</v>
      </c>
      <c r="BK33" s="80">
        <f t="shared" si="125"/>
        <v>50.618800205719324</v>
      </c>
      <c r="BL33" s="80">
        <f t="shared" si="125"/>
        <v>43.245656305184042</v>
      </c>
      <c r="BM33" s="94"/>
      <c r="BN33" s="429">
        <v>84.23515535479136</v>
      </c>
      <c r="BO33" s="429">
        <v>86.997498821908877</v>
      </c>
      <c r="BP33" s="429">
        <v>80.266695343585326</v>
      </c>
      <c r="BQ33" s="429">
        <v>75.374320471510828</v>
      </c>
      <c r="BR33" s="373"/>
    </row>
    <row r="34" spans="2:70" s="80" customFormat="1" x14ac:dyDescent="0.3">
      <c r="B34" s="80" t="s">
        <v>75</v>
      </c>
      <c r="C34" s="80">
        <f>(C20*1000)/C4</f>
        <v>19.873083024854573</v>
      </c>
      <c r="D34" s="80">
        <f t="shared" ref="D34:H34" si="126">(D20*1000)/D4</f>
        <v>12.570817134120491</v>
      </c>
      <c r="E34" s="80">
        <f t="shared" si="126"/>
        <v>9.1105640659096121</v>
      </c>
      <c r="F34" s="80">
        <f t="shared" si="126"/>
        <v>8.6240249999999996</v>
      </c>
      <c r="G34" s="94">
        <f>(G20*1000)/G4</f>
        <v>6.901698540722454</v>
      </c>
      <c r="H34" s="94"/>
      <c r="I34" s="80">
        <f t="shared" ref="I34:O34" si="127">(I20*1000)/I4</f>
        <v>21.657832704650453</v>
      </c>
      <c r="J34" s="80">
        <f t="shared" si="127"/>
        <v>22.093598177049746</v>
      </c>
      <c r="K34" s="80">
        <f t="shared" si="127"/>
        <v>23.409898946848958</v>
      </c>
      <c r="L34" s="80">
        <f t="shared" si="127"/>
        <v>23.605374971338961</v>
      </c>
      <c r="M34" s="418">
        <f t="shared" si="127"/>
        <v>20.846111195615375</v>
      </c>
      <c r="N34" s="94"/>
      <c r="O34" s="80">
        <f t="shared" si="127"/>
        <v>6.3938525695705106</v>
      </c>
      <c r="P34" s="80">
        <f t="shared" ref="P34:R34" si="128">(P20*1000)/P4</f>
        <v>5.2763487666534754</v>
      </c>
      <c r="Q34" s="80">
        <f t="shared" si="128"/>
        <v>4.8811622711791696</v>
      </c>
      <c r="R34" s="94">
        <f t="shared" si="128"/>
        <v>5.1008930486599038</v>
      </c>
      <c r="T34" s="4">
        <f t="shared" ref="T34" si="129">T29-T26</f>
        <v>2</v>
      </c>
      <c r="X34" s="85"/>
      <c r="Y34" s="418">
        <f t="shared" ref="Y34:AC34" si="130">(Y20*1000)/Y4</f>
        <v>23.931520036814383</v>
      </c>
      <c r="Z34" s="418">
        <f t="shared" si="130"/>
        <v>24.162162162162161</v>
      </c>
      <c r="AA34" s="418">
        <f t="shared" si="130"/>
        <v>25.621621621621621</v>
      </c>
      <c r="AB34" s="418">
        <f>(AB20*1000)/AB4</f>
        <v>24.250387568561408</v>
      </c>
      <c r="AC34" s="418"/>
      <c r="AD34" s="85">
        <f t="shared" ref="AD34:AJ34" si="131">(AD20*1000)/AD4</f>
        <v>17.700964161595579</v>
      </c>
      <c r="AE34" s="85">
        <f t="shared" si="131"/>
        <v>18.651793982530464</v>
      </c>
      <c r="AF34" s="85">
        <f t="shared" si="131"/>
        <v>19.471095274432283</v>
      </c>
      <c r="AG34" s="85">
        <f t="shared" si="131"/>
        <v>20.640051975697631</v>
      </c>
      <c r="AH34" s="85">
        <f>(AH20*1000)/AH4</f>
        <v>20.817318494704747</v>
      </c>
      <c r="AI34" s="85"/>
      <c r="AJ34" s="80">
        <f t="shared" si="131"/>
        <v>1.8370873038791029</v>
      </c>
      <c r="AK34" s="80">
        <f>(AK20*1000)/AK4</f>
        <v>2.2653412462908014</v>
      </c>
      <c r="AL34" s="80">
        <f t="shared" ref="AL34:AV34" si="132">(AL20*1000)/AL4</f>
        <v>2.2653412462908014</v>
      </c>
      <c r="AM34" s="80">
        <f t="shared" si="132"/>
        <v>2.2653412462908014</v>
      </c>
      <c r="AN34" s="418">
        <f>(AN20*1000)/AN4</f>
        <v>7.9879721068249268</v>
      </c>
      <c r="AO34" s="94"/>
      <c r="AU34" s="94"/>
      <c r="AV34" s="80">
        <f t="shared" si="132"/>
        <v>20.130711413332179</v>
      </c>
      <c r="AW34" s="80">
        <f t="shared" ref="AW34:BH34" si="133">(AW20*1000)/AW4</f>
        <v>21.082563558965557</v>
      </c>
      <c r="AX34" s="80">
        <f t="shared" si="133"/>
        <v>22.721136231008863</v>
      </c>
      <c r="AY34" s="80">
        <f t="shared" si="133"/>
        <v>23.335817900349749</v>
      </c>
      <c r="AZ34" s="80">
        <f>(AZ20*1000)/AZ4</f>
        <v>21.494508456303482</v>
      </c>
      <c r="BA34" s="94"/>
      <c r="BB34" s="80">
        <f t="shared" si="133"/>
        <v>24.828002852548735</v>
      </c>
      <c r="BC34" s="80">
        <f t="shared" si="133"/>
        <v>25.598635998991323</v>
      </c>
      <c r="BD34" s="80">
        <f t="shared" si="133"/>
        <v>27.709135853000017</v>
      </c>
      <c r="BE34" s="80">
        <f t="shared" si="133"/>
        <v>32.879820550427056</v>
      </c>
      <c r="BF34" s="80">
        <f>(BF20*1000)/BF4</f>
        <v>31.687670156333326</v>
      </c>
      <c r="BG34" s="94"/>
      <c r="BH34" s="80">
        <f t="shared" si="133"/>
        <v>0</v>
      </c>
      <c r="BI34" s="80">
        <f t="shared" ref="BI34:BL34" si="134">(BI20*1000)/BI4</f>
        <v>21.424290673881977</v>
      </c>
      <c r="BJ34" s="80">
        <f t="shared" si="134"/>
        <v>21.670750692393074</v>
      </c>
      <c r="BK34" s="80">
        <f t="shared" si="134"/>
        <v>22.564978865005845</v>
      </c>
      <c r="BL34" s="80">
        <f t="shared" si="134"/>
        <v>20.884189161026086</v>
      </c>
      <c r="BM34" s="94"/>
      <c r="BN34" s="429">
        <v>6.3938525695705106</v>
      </c>
      <c r="BO34" s="429">
        <v>5.2763487666534754</v>
      </c>
      <c r="BP34" s="429">
        <v>4.8811622711791696</v>
      </c>
      <c r="BQ34" s="429">
        <v>5.1008930486599038</v>
      </c>
      <c r="BR34" s="373"/>
    </row>
    <row r="35" spans="2:70" x14ac:dyDescent="0.3">
      <c r="R35" s="31"/>
    </row>
  </sheetData>
  <mergeCells count="12">
    <mergeCell ref="B2:B3"/>
    <mergeCell ref="AJ2:AO2"/>
    <mergeCell ref="BH2:BL2"/>
    <mergeCell ref="C2:H2"/>
    <mergeCell ref="O2:R2"/>
    <mergeCell ref="AV2:BA2"/>
    <mergeCell ref="S2:W2"/>
    <mergeCell ref="AD2:AI2"/>
    <mergeCell ref="Y2:AC2"/>
    <mergeCell ref="BB2:BG2"/>
    <mergeCell ref="AP2:AU2"/>
    <mergeCell ref="I2:N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F0750-B1F1-42DE-A177-DA633ACFAC98}">
  <sheetPr>
    <tabColor theme="9" tint="0.39997558519241921"/>
  </sheetPr>
  <dimension ref="A1:BI36"/>
  <sheetViews>
    <sheetView workbookViewId="0">
      <pane xSplit="2" ySplit="4" topLeftCell="AI5" activePane="bottomRight" state="frozen"/>
      <selection activeCell="C45" sqref="C45"/>
      <selection pane="topRight" activeCell="C45" sqref="C45"/>
      <selection pane="bottomLeft" activeCell="C45" sqref="C45"/>
      <selection pane="bottomRight" activeCell="BF27" sqref="BF27"/>
    </sheetView>
  </sheetViews>
  <sheetFormatPr baseColWidth="10" defaultColWidth="10.8984375" defaultRowHeight="12" x14ac:dyDescent="0.3"/>
  <cols>
    <col min="1" max="1" width="3.09765625" style="4" customWidth="1"/>
    <col min="2" max="2" width="27.09765625" style="4" customWidth="1"/>
    <col min="3" max="12" width="11.296875" style="4" customWidth="1"/>
    <col min="13" max="16" width="12.296875" style="4" customWidth="1"/>
    <col min="17" max="17" width="13.796875" style="34" customWidth="1"/>
    <col min="18" max="18" width="13" style="34" customWidth="1"/>
    <col min="19" max="19" width="15.59765625" style="34" customWidth="1"/>
    <col min="20" max="21" width="10" style="34" bestFit="1" customWidth="1"/>
    <col min="22" max="31" width="11.296875" style="4" customWidth="1"/>
    <col min="32" max="32" width="11.09765625" style="4" customWidth="1"/>
    <col min="33" max="37" width="11.3984375" style="4" customWidth="1"/>
    <col min="38" max="38" width="10.8984375" style="4"/>
    <col min="39" max="39" width="14.19921875" style="4" customWidth="1"/>
    <col min="40" max="40" width="14.69921875" style="4" customWidth="1"/>
    <col min="41" max="41" width="15" style="4" customWidth="1"/>
    <col min="42" max="43" width="14.5" style="4" customWidth="1"/>
    <col min="44" max="16384" width="10.8984375" style="4"/>
  </cols>
  <sheetData>
    <row r="1" spans="1:61" x14ac:dyDescent="0.3">
      <c r="Q1" s="4"/>
      <c r="R1" s="4"/>
      <c r="S1" s="4"/>
      <c r="V1" s="34"/>
      <c r="W1" s="34"/>
      <c r="X1" s="34"/>
      <c r="Y1" s="34"/>
    </row>
    <row r="2" spans="1:61" x14ac:dyDescent="0.3">
      <c r="Q2" s="4"/>
      <c r="R2" s="4"/>
      <c r="S2" s="4"/>
      <c r="V2" s="34"/>
      <c r="W2" s="34"/>
      <c r="X2" s="34"/>
      <c r="Y2" s="34"/>
    </row>
    <row r="3" spans="1:61" s="108" customFormat="1" x14ac:dyDescent="0.3">
      <c r="A3" s="336" t="s">
        <v>68</v>
      </c>
      <c r="B3" s="338" t="s">
        <v>69</v>
      </c>
      <c r="C3" s="335" t="s">
        <v>3</v>
      </c>
      <c r="D3" s="335"/>
      <c r="E3" s="335"/>
      <c r="F3" s="335"/>
      <c r="G3" s="335"/>
      <c r="H3" s="290"/>
      <c r="I3" s="335" t="s">
        <v>227</v>
      </c>
      <c r="J3" s="335"/>
      <c r="K3" s="335"/>
      <c r="L3" s="335"/>
      <c r="M3" s="335"/>
      <c r="N3" s="289"/>
      <c r="O3" s="430" t="s">
        <v>197</v>
      </c>
      <c r="P3" s="335"/>
      <c r="Q3" s="335"/>
      <c r="R3" s="335"/>
      <c r="S3" s="290"/>
      <c r="T3" s="335" t="s">
        <v>198</v>
      </c>
      <c r="U3" s="335"/>
      <c r="V3" s="335"/>
      <c r="W3" s="335"/>
      <c r="X3" s="335"/>
      <c r="Y3" s="290"/>
      <c r="Z3" s="335" t="s">
        <v>94</v>
      </c>
      <c r="AA3" s="335"/>
      <c r="AB3" s="335"/>
      <c r="AC3" s="335"/>
      <c r="AD3" s="335"/>
      <c r="AE3" s="290"/>
      <c r="AF3" s="335" t="s">
        <v>8</v>
      </c>
      <c r="AG3" s="335"/>
      <c r="AH3" s="335"/>
      <c r="AI3" s="335"/>
      <c r="AJ3" s="335"/>
      <c r="AK3" s="290"/>
      <c r="AL3" s="335" t="s">
        <v>74</v>
      </c>
      <c r="AM3" s="335"/>
      <c r="AN3" s="335"/>
      <c r="AO3" s="335"/>
      <c r="AP3" s="336"/>
      <c r="AQ3" s="340"/>
      <c r="AR3" s="335" t="s">
        <v>213</v>
      </c>
      <c r="AS3" s="335"/>
      <c r="AT3" s="335"/>
      <c r="AU3" s="335"/>
      <c r="AV3" s="336"/>
      <c r="AW3" s="340"/>
      <c r="AX3" s="335" t="s">
        <v>212</v>
      </c>
      <c r="AY3" s="335"/>
      <c r="AZ3" s="335"/>
      <c r="BA3" s="335"/>
      <c r="BB3" s="336"/>
      <c r="BC3" s="340"/>
      <c r="BD3" s="335" t="s">
        <v>195</v>
      </c>
      <c r="BE3" s="335"/>
      <c r="BF3" s="335"/>
      <c r="BG3" s="335"/>
      <c r="BH3" s="336"/>
      <c r="BI3" s="340"/>
    </row>
    <row r="4" spans="1:61" s="42" customFormat="1" ht="12.5" thickBot="1" x14ac:dyDescent="0.35">
      <c r="A4" s="337"/>
      <c r="B4" s="339"/>
      <c r="C4" s="61">
        <v>2019</v>
      </c>
      <c r="D4" s="61">
        <v>2020</v>
      </c>
      <c r="E4" s="61">
        <v>2021</v>
      </c>
      <c r="F4" s="61">
        <v>2022</v>
      </c>
      <c r="G4" s="61">
        <v>2023</v>
      </c>
      <c r="H4" s="431">
        <v>2024</v>
      </c>
      <c r="I4" s="61">
        <v>2019</v>
      </c>
      <c r="J4" s="61">
        <v>2020</v>
      </c>
      <c r="K4" s="61">
        <v>2021</v>
      </c>
      <c r="L4" s="61">
        <v>2022</v>
      </c>
      <c r="M4" s="61">
        <v>2023</v>
      </c>
      <c r="N4" s="61">
        <v>2024</v>
      </c>
      <c r="O4" s="432">
        <v>2020</v>
      </c>
      <c r="P4" s="61">
        <v>2021</v>
      </c>
      <c r="Q4" s="61">
        <v>2022</v>
      </c>
      <c r="R4" s="61">
        <v>2023</v>
      </c>
      <c r="S4" s="433">
        <v>2024</v>
      </c>
      <c r="T4" s="86">
        <v>2019</v>
      </c>
      <c r="U4" s="86">
        <v>2020</v>
      </c>
      <c r="V4" s="86">
        <v>2021</v>
      </c>
      <c r="W4" s="86">
        <v>2122</v>
      </c>
      <c r="X4" s="434">
        <v>2023</v>
      </c>
      <c r="Y4" s="435">
        <v>2024</v>
      </c>
      <c r="Z4" s="62">
        <v>2019</v>
      </c>
      <c r="AA4" s="62">
        <v>2020</v>
      </c>
      <c r="AB4" s="62">
        <v>2021</v>
      </c>
      <c r="AC4" s="62">
        <v>2122</v>
      </c>
      <c r="AD4" s="436">
        <v>2023</v>
      </c>
      <c r="AE4" s="73">
        <v>2024</v>
      </c>
      <c r="AF4" s="61">
        <v>2019</v>
      </c>
      <c r="AG4" s="61">
        <v>2020</v>
      </c>
      <c r="AH4" s="61">
        <v>2021</v>
      </c>
      <c r="AI4" s="61">
        <v>2122</v>
      </c>
      <c r="AJ4" s="61">
        <v>2023</v>
      </c>
      <c r="AK4" s="437">
        <v>2024</v>
      </c>
      <c r="AL4" s="62">
        <v>2019</v>
      </c>
      <c r="AM4" s="62">
        <v>2020</v>
      </c>
      <c r="AN4" s="62">
        <v>2021</v>
      </c>
      <c r="AO4" s="62">
        <v>2022</v>
      </c>
      <c r="AP4" s="438">
        <v>2023</v>
      </c>
      <c r="AQ4" s="73">
        <v>2024</v>
      </c>
      <c r="AR4" s="62">
        <v>2019</v>
      </c>
      <c r="AS4" s="62">
        <v>2020</v>
      </c>
      <c r="AT4" s="62">
        <v>2021</v>
      </c>
      <c r="AU4" s="62">
        <v>2022</v>
      </c>
      <c r="AV4" s="438">
        <v>2023</v>
      </c>
      <c r="AW4" s="73">
        <v>2024</v>
      </c>
      <c r="AX4" s="62">
        <v>2019</v>
      </c>
      <c r="AY4" s="62">
        <v>2020</v>
      </c>
      <c r="AZ4" s="62">
        <v>2021</v>
      </c>
      <c r="BA4" s="62">
        <v>2022</v>
      </c>
      <c r="BB4" s="438">
        <v>2023</v>
      </c>
      <c r="BC4" s="73">
        <v>2024</v>
      </c>
      <c r="BD4" s="62">
        <v>2019</v>
      </c>
      <c r="BE4" s="62">
        <v>2020</v>
      </c>
      <c r="BF4" s="62">
        <v>2021</v>
      </c>
      <c r="BG4" s="62">
        <v>2022</v>
      </c>
      <c r="BH4" s="438">
        <v>2023</v>
      </c>
      <c r="BI4" s="73">
        <v>2024</v>
      </c>
    </row>
    <row r="5" spans="1:61" ht="12.5" thickTop="1" x14ac:dyDescent="0.3">
      <c r="A5" s="42">
        <v>1</v>
      </c>
      <c r="B5" s="55" t="s">
        <v>9</v>
      </c>
      <c r="C5" s="4">
        <v>138688</v>
      </c>
      <c r="D5" s="4">
        <v>154340</v>
      </c>
      <c r="E5" s="42">
        <v>220763</v>
      </c>
      <c r="F5" s="4">
        <v>140510</v>
      </c>
      <c r="G5" s="90">
        <v>133113</v>
      </c>
      <c r="H5" s="90">
        <f>H13/1.15</f>
        <v>184026.08695652176</v>
      </c>
      <c r="I5" s="91">
        <v>198755</v>
      </c>
      <c r="J5" s="4">
        <v>476437</v>
      </c>
      <c r="K5" s="4">
        <v>544344</v>
      </c>
      <c r="L5" s="4">
        <v>543147</v>
      </c>
      <c r="M5" s="4">
        <v>555568</v>
      </c>
      <c r="N5" s="4">
        <v>586116</v>
      </c>
      <c r="O5" s="88">
        <v>1616087</v>
      </c>
      <c r="P5" s="11">
        <v>1616000</v>
      </c>
      <c r="Q5" s="11">
        <v>1761535</v>
      </c>
      <c r="R5" s="439">
        <v>1650000</v>
      </c>
      <c r="S5" s="53">
        <f>S13/1.15</f>
        <v>1650000</v>
      </c>
      <c r="T5" s="34">
        <v>705222.18599999999</v>
      </c>
      <c r="U5" s="34">
        <v>691807.57000000007</v>
      </c>
      <c r="V5" s="34">
        <v>699621.62599999981</v>
      </c>
      <c r="W5" s="34">
        <v>712817.00600000028</v>
      </c>
      <c r="X5" s="34">
        <v>682601.24</v>
      </c>
      <c r="Y5" s="40">
        <f>Y13/1.15</f>
        <v>715390.72</v>
      </c>
      <c r="Z5" s="34">
        <v>1314950</v>
      </c>
      <c r="AA5" s="34">
        <v>1371176</v>
      </c>
      <c r="AB5" s="34">
        <v>1325934</v>
      </c>
      <c r="AC5" s="34">
        <v>1203950</v>
      </c>
      <c r="AD5" s="440">
        <v>1561240</v>
      </c>
      <c r="AE5" s="40"/>
      <c r="AF5" s="4">
        <v>667616</v>
      </c>
      <c r="AG5" s="4">
        <v>667616</v>
      </c>
      <c r="AH5" s="4">
        <v>679169</v>
      </c>
      <c r="AI5" s="4">
        <v>667078</v>
      </c>
      <c r="AJ5" s="90">
        <v>657338</v>
      </c>
      <c r="AK5" s="416"/>
      <c r="AL5" s="19"/>
      <c r="AM5" s="19"/>
      <c r="AN5" s="19"/>
      <c r="AO5" s="111"/>
      <c r="AP5" s="441"/>
      <c r="AQ5" s="13"/>
      <c r="AR5" s="19"/>
      <c r="AS5" s="19"/>
      <c r="AT5" s="19"/>
      <c r="AU5" s="19">
        <f>AU13/1.15</f>
        <v>87062.608695652176</v>
      </c>
      <c r="AV5" s="19">
        <f>AV13/1.15</f>
        <v>98060.869565217392</v>
      </c>
      <c r="AW5" s="19">
        <f>AW13/1.15</f>
        <v>175287</v>
      </c>
      <c r="AX5" s="19"/>
      <c r="AY5" s="19"/>
      <c r="AZ5" s="19"/>
      <c r="BA5" s="111"/>
      <c r="BB5" s="441"/>
      <c r="BC5" s="13">
        <f>BC13/1.15</f>
        <v>278260.86956521741</v>
      </c>
      <c r="BD5" s="19"/>
      <c r="BE5" s="19"/>
      <c r="BF5" s="19"/>
      <c r="BG5" s="111"/>
      <c r="BH5" s="441"/>
      <c r="BI5" s="13"/>
    </row>
    <row r="6" spans="1:61" x14ac:dyDescent="0.3">
      <c r="A6" s="42">
        <v>2</v>
      </c>
      <c r="B6" s="55" t="s">
        <v>10</v>
      </c>
      <c r="C6" s="4">
        <v>13768322</v>
      </c>
      <c r="D6" s="4">
        <v>15162768</v>
      </c>
      <c r="E6" s="4">
        <v>19715703</v>
      </c>
      <c r="F6" s="4">
        <v>14414898</v>
      </c>
      <c r="G6" s="4">
        <v>13542223</v>
      </c>
      <c r="H6" s="4">
        <v>0</v>
      </c>
      <c r="I6" s="18"/>
      <c r="O6" s="18" t="s">
        <v>72</v>
      </c>
      <c r="P6" s="12"/>
      <c r="Q6" s="12"/>
      <c r="R6" s="12"/>
      <c r="S6" s="58"/>
      <c r="V6" s="34"/>
      <c r="W6" s="34"/>
      <c r="X6" s="34"/>
      <c r="Y6" s="40"/>
      <c r="Z6" s="34"/>
      <c r="AA6" s="34"/>
      <c r="AB6" s="34"/>
      <c r="AC6" s="34"/>
      <c r="AD6" s="34"/>
      <c r="AE6" s="40"/>
      <c r="AF6" s="4">
        <v>14722516</v>
      </c>
      <c r="AG6" s="4">
        <v>14722516</v>
      </c>
      <c r="AH6" s="4">
        <v>14700000</v>
      </c>
      <c r="AI6" s="4">
        <v>12700000</v>
      </c>
      <c r="AJ6" s="4">
        <v>13793000</v>
      </c>
      <c r="AK6" s="30"/>
      <c r="AL6" s="19"/>
      <c r="AM6" s="19"/>
      <c r="AN6" s="19"/>
      <c r="AO6" s="111"/>
      <c r="AP6" s="19"/>
      <c r="AQ6" s="13"/>
      <c r="AR6" s="19"/>
      <c r="AS6" s="19"/>
      <c r="AT6" s="19"/>
      <c r="AU6" s="111"/>
      <c r="AV6" s="19"/>
      <c r="AW6" s="13">
        <v>0</v>
      </c>
      <c r="AX6" s="19"/>
      <c r="AY6" s="19"/>
      <c r="AZ6" s="19"/>
      <c r="BA6" s="111"/>
      <c r="BB6" s="19"/>
      <c r="BC6" s="13">
        <v>0</v>
      </c>
      <c r="BD6" s="19"/>
      <c r="BE6" s="19"/>
      <c r="BF6" s="19"/>
      <c r="BG6" s="111"/>
      <c r="BH6" s="19"/>
      <c r="BI6" s="13"/>
    </row>
    <row r="7" spans="1:61" x14ac:dyDescent="0.3">
      <c r="A7" s="42">
        <v>3</v>
      </c>
      <c r="B7" s="442" t="s">
        <v>11</v>
      </c>
      <c r="C7" s="4">
        <v>130152</v>
      </c>
      <c r="D7" s="4">
        <v>116963</v>
      </c>
      <c r="E7" s="4">
        <v>115677</v>
      </c>
      <c r="F7" s="4">
        <v>126806</v>
      </c>
      <c r="G7" s="4">
        <v>133339</v>
      </c>
      <c r="H7" s="4">
        <f>H10</f>
        <v>135926</v>
      </c>
      <c r="I7" s="18">
        <v>127488</v>
      </c>
      <c r="J7" s="4">
        <v>503305</v>
      </c>
      <c r="K7" s="4">
        <v>571375</v>
      </c>
      <c r="L7" s="4">
        <v>785973</v>
      </c>
      <c r="M7" s="4">
        <v>888221</v>
      </c>
      <c r="O7" s="89">
        <v>4787000</v>
      </c>
      <c r="P7" s="12">
        <v>5100000</v>
      </c>
      <c r="Q7" s="12">
        <v>5238000</v>
      </c>
      <c r="R7" s="12">
        <v>5371000</v>
      </c>
      <c r="S7" s="65"/>
      <c r="T7" s="34">
        <v>2419159.3625991903</v>
      </c>
      <c r="U7" s="34">
        <v>2099431</v>
      </c>
      <c r="V7" s="34">
        <v>2195953.73</v>
      </c>
      <c r="W7" s="34">
        <v>2092553</v>
      </c>
      <c r="X7" s="34">
        <v>2263792</v>
      </c>
      <c r="Y7" s="40"/>
      <c r="Z7" s="34">
        <v>3167027</v>
      </c>
      <c r="AA7" s="34">
        <v>2823309</v>
      </c>
      <c r="AB7" s="34">
        <v>2292627</v>
      </c>
      <c r="AC7" s="34">
        <v>2333145</v>
      </c>
      <c r="AD7" s="34">
        <v>2591628</v>
      </c>
      <c r="AE7" s="40"/>
      <c r="AF7" s="4">
        <v>1720399</v>
      </c>
      <c r="AG7" s="4">
        <v>1434310</v>
      </c>
      <c r="AH7" s="4">
        <v>1341151</v>
      </c>
      <c r="AI7" s="4">
        <v>1468353</v>
      </c>
      <c r="AJ7" s="4">
        <v>1591713</v>
      </c>
      <c r="AK7" s="30"/>
      <c r="AL7" s="112">
        <v>4425101</v>
      </c>
      <c r="AM7" s="112">
        <v>4010185</v>
      </c>
      <c r="AN7" s="112">
        <v>4255849</v>
      </c>
      <c r="AO7" s="112">
        <v>4270833</v>
      </c>
      <c r="AP7" s="112">
        <v>4439307</v>
      </c>
      <c r="AQ7" s="113"/>
      <c r="AR7" s="112"/>
      <c r="AS7" s="112"/>
      <c r="AT7" s="112"/>
      <c r="AU7" s="112"/>
      <c r="AV7" s="112"/>
      <c r="AW7" s="443">
        <f>AW10</f>
        <v>401279</v>
      </c>
      <c r="AX7" s="112"/>
      <c r="AY7" s="112"/>
      <c r="AZ7" s="112"/>
      <c r="BA7" s="112"/>
      <c r="BB7" s="112"/>
      <c r="BC7" s="113">
        <v>0</v>
      </c>
      <c r="BD7" s="112"/>
      <c r="BE7" s="112"/>
      <c r="BF7" s="112"/>
      <c r="BG7" s="112"/>
      <c r="BH7" s="112"/>
      <c r="BI7" s="113"/>
    </row>
    <row r="8" spans="1:61" s="115" customFormat="1" x14ac:dyDescent="0.3">
      <c r="A8" s="114">
        <v>4</v>
      </c>
      <c r="B8" s="444" t="s">
        <v>77</v>
      </c>
      <c r="C8" s="115">
        <v>64188</v>
      </c>
      <c r="D8" s="115">
        <v>35113</v>
      </c>
      <c r="E8" s="115">
        <v>56290</v>
      </c>
      <c r="F8" s="115">
        <v>65461</v>
      </c>
      <c r="G8" s="115">
        <v>68988</v>
      </c>
      <c r="H8" s="115">
        <v>72763</v>
      </c>
      <c r="I8" s="121"/>
      <c r="J8" s="115">
        <v>271255</v>
      </c>
      <c r="K8" s="115">
        <v>248953</v>
      </c>
      <c r="L8" s="115">
        <v>272780</v>
      </c>
      <c r="M8" s="115">
        <v>359776</v>
      </c>
      <c r="N8" s="115">
        <v>398862</v>
      </c>
      <c r="O8" s="122">
        <v>2483000</v>
      </c>
      <c r="P8" s="123">
        <v>2733000</v>
      </c>
      <c r="Q8" s="123">
        <v>2921000</v>
      </c>
      <c r="R8" s="123">
        <v>3087000</v>
      </c>
      <c r="S8" s="124">
        <v>3183000</v>
      </c>
      <c r="T8" s="116">
        <v>1280851</v>
      </c>
      <c r="U8" s="116">
        <v>1172835</v>
      </c>
      <c r="V8" s="116">
        <v>1280884</v>
      </c>
      <c r="W8" s="116">
        <v>1335378</v>
      </c>
      <c r="X8" s="116">
        <v>1402219</v>
      </c>
      <c r="Y8" s="117">
        <v>1496486</v>
      </c>
      <c r="Z8" s="116">
        <v>1030727</v>
      </c>
      <c r="AA8" s="116">
        <v>941103</v>
      </c>
      <c r="AB8" s="116">
        <v>1009146</v>
      </c>
      <c r="AC8" s="116">
        <v>1036000</v>
      </c>
      <c r="AD8" s="116">
        <v>1148000</v>
      </c>
      <c r="AE8" s="117">
        <v>1204496</v>
      </c>
      <c r="AK8" s="118">
        <v>870569</v>
      </c>
      <c r="AL8" s="119"/>
      <c r="AM8" s="119"/>
      <c r="AN8" s="119"/>
      <c r="AO8" s="119"/>
      <c r="AP8" s="119"/>
      <c r="AQ8" s="120"/>
      <c r="AR8" s="119"/>
      <c r="AS8" s="119"/>
      <c r="AT8" s="119"/>
      <c r="AU8" s="119">
        <v>37542</v>
      </c>
      <c r="AV8" s="119">
        <v>111956</v>
      </c>
      <c r="AW8" s="120">
        <v>132455</v>
      </c>
      <c r="AX8" s="119"/>
      <c r="AY8" s="119"/>
      <c r="AZ8" s="119"/>
      <c r="BA8" s="119"/>
      <c r="BB8" s="119"/>
      <c r="BC8" s="120"/>
      <c r="BD8" s="119">
        <v>0</v>
      </c>
      <c r="BE8" s="119">
        <v>0</v>
      </c>
      <c r="BF8" s="119">
        <v>0</v>
      </c>
      <c r="BG8" s="119">
        <v>123776</v>
      </c>
      <c r="BH8" s="119">
        <v>130155</v>
      </c>
      <c r="BI8" s="120">
        <v>146081</v>
      </c>
    </row>
    <row r="9" spans="1:61" s="115" customFormat="1" x14ac:dyDescent="0.3">
      <c r="A9" s="114">
        <v>5</v>
      </c>
      <c r="B9" s="444" t="s">
        <v>78</v>
      </c>
      <c r="C9" s="115">
        <v>106736</v>
      </c>
      <c r="D9" s="115">
        <v>68891</v>
      </c>
      <c r="E9" s="115">
        <v>88942</v>
      </c>
      <c r="F9" s="115">
        <v>104505</v>
      </c>
      <c r="G9" s="115">
        <v>110136</v>
      </c>
      <c r="H9" s="115">
        <v>113483</v>
      </c>
      <c r="I9" s="121"/>
      <c r="J9" s="115">
        <v>387831</v>
      </c>
      <c r="K9" s="115">
        <v>355458</v>
      </c>
      <c r="L9" s="115">
        <v>387573</v>
      </c>
      <c r="M9" s="115">
        <v>453087</v>
      </c>
      <c r="N9" s="115">
        <v>515905</v>
      </c>
      <c r="O9" s="122">
        <v>3651000</v>
      </c>
      <c r="P9" s="123">
        <v>3910000</v>
      </c>
      <c r="Q9" s="123">
        <v>4147000</v>
      </c>
      <c r="R9" s="123">
        <v>4372000</v>
      </c>
      <c r="S9" s="124">
        <v>4512000</v>
      </c>
      <c r="T9" s="116">
        <v>1897510</v>
      </c>
      <c r="U9" s="116">
        <v>1770397.426</v>
      </c>
      <c r="V9" s="116">
        <v>1892998.2109999997</v>
      </c>
      <c r="W9" s="116">
        <v>1928654.929</v>
      </c>
      <c r="X9" s="116">
        <v>2019050</v>
      </c>
      <c r="Y9" s="117">
        <v>2133668.9680000003</v>
      </c>
      <c r="Z9" s="116">
        <v>1668293</v>
      </c>
      <c r="AA9" s="116">
        <v>1558333</v>
      </c>
      <c r="AB9" s="116">
        <v>1668734</v>
      </c>
      <c r="AC9" s="116">
        <v>1691737</v>
      </c>
      <c r="AD9" s="116">
        <v>1862491</v>
      </c>
      <c r="AE9" s="117">
        <v>1979042</v>
      </c>
      <c r="AK9" s="118">
        <v>1242278</v>
      </c>
      <c r="AL9" s="119">
        <v>6562042</v>
      </c>
      <c r="AM9" s="119">
        <v>6122288</v>
      </c>
      <c r="AN9" s="119">
        <v>6512848</v>
      </c>
      <c r="AO9" s="119">
        <v>6470052</v>
      </c>
      <c r="AP9" s="119">
        <v>6624315</v>
      </c>
      <c r="AQ9" s="120">
        <v>6779051</v>
      </c>
      <c r="AR9" s="119"/>
      <c r="AS9" s="119"/>
      <c r="AT9" s="119"/>
      <c r="AU9" s="119">
        <v>48673</v>
      </c>
      <c r="AV9" s="119">
        <v>133585</v>
      </c>
      <c r="AW9" s="120">
        <v>146961</v>
      </c>
      <c r="AX9" s="119"/>
      <c r="AY9" s="119"/>
      <c r="AZ9" s="119"/>
      <c r="BA9" s="119"/>
      <c r="BB9" s="119"/>
      <c r="BC9" s="120"/>
      <c r="BD9" s="119">
        <v>0</v>
      </c>
      <c r="BE9" s="119">
        <v>170221</v>
      </c>
      <c r="BF9" s="119">
        <v>211458</v>
      </c>
      <c r="BG9" s="119">
        <v>158893</v>
      </c>
      <c r="BH9" s="119">
        <v>159719</v>
      </c>
      <c r="BI9" s="120">
        <v>178716</v>
      </c>
    </row>
    <row r="10" spans="1:61" s="115" customFormat="1" x14ac:dyDescent="0.3">
      <c r="A10" s="114">
        <v>6</v>
      </c>
      <c r="B10" s="444" t="s">
        <v>79</v>
      </c>
      <c r="C10" s="115">
        <v>130152</v>
      </c>
      <c r="D10" s="115">
        <v>83185</v>
      </c>
      <c r="E10" s="115">
        <v>115677</v>
      </c>
      <c r="F10" s="115">
        <v>126806</v>
      </c>
      <c r="G10" s="115">
        <v>133339</v>
      </c>
      <c r="H10" s="115">
        <v>135926</v>
      </c>
      <c r="I10" s="121"/>
      <c r="J10" s="115">
        <v>503305</v>
      </c>
      <c r="K10" s="115">
        <v>571375</v>
      </c>
      <c r="L10" s="115">
        <v>785973</v>
      </c>
      <c r="M10" s="115">
        <v>888221</v>
      </c>
      <c r="N10" s="115">
        <v>1116619</v>
      </c>
      <c r="O10" s="122">
        <v>4787000</v>
      </c>
      <c r="P10" s="123">
        <v>5100000</v>
      </c>
      <c r="Q10" s="123">
        <v>5238000</v>
      </c>
      <c r="R10" s="123">
        <v>5371000</v>
      </c>
      <c r="S10" s="124">
        <v>5924000</v>
      </c>
      <c r="T10" s="116">
        <v>2419159.3625991903</v>
      </c>
      <c r="U10" s="116">
        <v>2087832</v>
      </c>
      <c r="V10" s="116">
        <v>2195953.73</v>
      </c>
      <c r="W10" s="116">
        <v>2092553</v>
      </c>
      <c r="X10" s="116">
        <v>2263792</v>
      </c>
      <c r="Y10" s="117">
        <v>2500990</v>
      </c>
      <c r="Z10" s="116">
        <v>3167027</v>
      </c>
      <c r="AA10" s="116">
        <v>2823309</v>
      </c>
      <c r="AB10" s="116">
        <v>2292627</v>
      </c>
      <c r="AC10" s="116">
        <v>2333145</v>
      </c>
      <c r="AD10" s="116">
        <v>2591628</v>
      </c>
      <c r="AE10" s="117">
        <v>2803095</v>
      </c>
      <c r="AK10" s="118">
        <v>659186</v>
      </c>
      <c r="AL10" s="119">
        <v>8307434</v>
      </c>
      <c r="AM10" s="119">
        <v>7010908</v>
      </c>
      <c r="AN10" s="119">
        <v>7340905</v>
      </c>
      <c r="AO10" s="119">
        <v>7330512</v>
      </c>
      <c r="AP10" s="119">
        <v>7528068</v>
      </c>
      <c r="AQ10" s="120">
        <v>7529757</v>
      </c>
      <c r="AR10" s="119"/>
      <c r="AS10" s="119"/>
      <c r="AT10" s="119"/>
      <c r="AU10" s="119">
        <v>325854</v>
      </c>
      <c r="AV10" s="119">
        <v>395888</v>
      </c>
      <c r="AW10" s="120">
        <v>401279</v>
      </c>
      <c r="AX10" s="119"/>
      <c r="AY10" s="119"/>
      <c r="AZ10" s="119"/>
      <c r="BA10" s="119"/>
      <c r="BB10" s="119"/>
      <c r="BC10" s="120">
        <v>62357</v>
      </c>
      <c r="BD10" s="119">
        <v>0</v>
      </c>
      <c r="BE10" s="119">
        <v>210176</v>
      </c>
      <c r="BF10" s="119">
        <v>154301</v>
      </c>
      <c r="BG10" s="119">
        <v>349525</v>
      </c>
      <c r="BH10" s="119">
        <v>371969</v>
      </c>
      <c r="BI10" s="120">
        <v>373083</v>
      </c>
    </row>
    <row r="11" spans="1:61" x14ac:dyDescent="0.3">
      <c r="A11" s="42">
        <v>7</v>
      </c>
      <c r="B11" s="445" t="s">
        <v>12</v>
      </c>
      <c r="C11" s="4">
        <v>958575</v>
      </c>
      <c r="D11" s="4">
        <v>880787</v>
      </c>
      <c r="E11" s="4">
        <v>1101364</v>
      </c>
      <c r="F11" s="4">
        <v>861668</v>
      </c>
      <c r="G11" s="4">
        <v>1100259</v>
      </c>
      <c r="H11" s="4">
        <v>0</v>
      </c>
      <c r="I11" s="18">
        <v>2745655</v>
      </c>
      <c r="J11" s="4">
        <v>5253081</v>
      </c>
      <c r="K11" s="4">
        <v>6109516</v>
      </c>
      <c r="L11" s="4">
        <v>7983644</v>
      </c>
      <c r="M11" s="4">
        <v>8745813</v>
      </c>
      <c r="O11" s="89">
        <v>32402268</v>
      </c>
      <c r="P11" s="12">
        <v>36975281</v>
      </c>
      <c r="Q11" s="12">
        <v>35309272</v>
      </c>
      <c r="R11" s="12">
        <v>31508385</v>
      </c>
      <c r="S11" s="4"/>
      <c r="T11" s="34">
        <v>16448773.0194939</v>
      </c>
      <c r="U11" s="34">
        <v>15141735</v>
      </c>
      <c r="V11" s="34">
        <v>15141734.979</v>
      </c>
      <c r="W11" s="34">
        <v>14876733.362</v>
      </c>
      <c r="X11" s="34">
        <v>15236510.738000002</v>
      </c>
      <c r="Y11" s="40"/>
      <c r="Z11" s="34">
        <v>39631960</v>
      </c>
      <c r="AA11" s="34">
        <v>34418049</v>
      </c>
      <c r="AB11" s="34">
        <v>10077458</v>
      </c>
      <c r="AC11" s="34">
        <v>30330885</v>
      </c>
      <c r="AD11" s="34">
        <v>33691164</v>
      </c>
      <c r="AE11" s="40"/>
      <c r="AF11" s="4">
        <v>14722516</v>
      </c>
      <c r="AG11" s="4">
        <v>11903703</v>
      </c>
      <c r="AH11" s="4">
        <v>11176258</v>
      </c>
      <c r="AI11" s="4">
        <v>12677777</v>
      </c>
      <c r="AJ11" s="4">
        <v>13793279</v>
      </c>
      <c r="AK11" s="30"/>
      <c r="AL11" s="19"/>
      <c r="AM11" s="19"/>
      <c r="AN11" s="19"/>
      <c r="AO11" s="19"/>
      <c r="AP11" s="19"/>
      <c r="AQ11" s="13"/>
      <c r="AR11" s="19"/>
      <c r="AS11" s="19"/>
      <c r="AT11" s="19"/>
      <c r="AW11" s="4">
        <v>0</v>
      </c>
      <c r="AX11" s="19"/>
      <c r="AY11" s="19"/>
      <c r="AZ11" s="19"/>
      <c r="BA11" s="19"/>
      <c r="BB11" s="19"/>
      <c r="BC11" s="4">
        <v>0</v>
      </c>
      <c r="BD11" s="19"/>
      <c r="BE11" s="19"/>
      <c r="BF11" s="19"/>
      <c r="BG11" s="19"/>
      <c r="BH11" s="19"/>
    </row>
    <row r="12" spans="1:61" x14ac:dyDescent="0.3">
      <c r="A12" s="42">
        <v>8</v>
      </c>
      <c r="B12" s="442" t="s">
        <v>13</v>
      </c>
      <c r="C12" s="17" t="s">
        <v>27</v>
      </c>
      <c r="D12" s="17" t="s">
        <v>27</v>
      </c>
      <c r="E12" s="17" t="s">
        <v>27</v>
      </c>
      <c r="F12" s="17" t="s">
        <v>27</v>
      </c>
      <c r="G12" s="17" t="s">
        <v>27</v>
      </c>
      <c r="H12" s="17">
        <v>0</v>
      </c>
      <c r="I12" s="18"/>
      <c r="O12" s="89"/>
      <c r="P12" s="12"/>
      <c r="Q12" s="12"/>
      <c r="R12" s="12"/>
      <c r="S12" s="58"/>
      <c r="V12" s="34"/>
      <c r="W12" s="34"/>
      <c r="X12" s="34"/>
      <c r="Y12" s="40"/>
      <c r="Z12" s="34"/>
      <c r="AA12" s="34"/>
      <c r="AB12" s="34"/>
      <c r="AC12" s="34"/>
      <c r="AD12" s="34"/>
      <c r="AE12" s="40"/>
      <c r="AK12" s="30"/>
      <c r="AQ12" s="30"/>
      <c r="AW12" s="30">
        <v>0</v>
      </c>
      <c r="BC12" s="30">
        <v>0</v>
      </c>
      <c r="BI12" s="30"/>
    </row>
    <row r="13" spans="1:61" x14ac:dyDescent="0.3">
      <c r="A13" s="42">
        <v>9</v>
      </c>
      <c r="B13" s="445" t="s">
        <v>226</v>
      </c>
      <c r="C13" s="4">
        <f>SUM(C5)</f>
        <v>138688</v>
      </c>
      <c r="D13" s="4">
        <f>SUM(D5)</f>
        <v>154340</v>
      </c>
      <c r="E13" s="4">
        <f>SUM(E5)</f>
        <v>220763</v>
      </c>
      <c r="F13" s="4">
        <f>SUM(F5)</f>
        <v>140510</v>
      </c>
      <c r="G13" s="4">
        <f>SUM(G5)</f>
        <v>133113</v>
      </c>
      <c r="H13" s="4">
        <v>211630</v>
      </c>
      <c r="I13" s="18">
        <v>198755</v>
      </c>
      <c r="J13" s="4">
        <v>476437</v>
      </c>
      <c r="K13" s="4">
        <v>544344</v>
      </c>
      <c r="L13" s="4">
        <v>543147</v>
      </c>
      <c r="M13" s="4">
        <v>555568</v>
      </c>
      <c r="N13" s="4">
        <v>586116</v>
      </c>
      <c r="O13" s="89">
        <f>1.15*O5</f>
        <v>1858500.0499999998</v>
      </c>
      <c r="P13" s="12">
        <f>1.15*P5</f>
        <v>1858399.9999999998</v>
      </c>
      <c r="Q13" s="12">
        <f>1.15*Q5</f>
        <v>2025765.2499999998</v>
      </c>
      <c r="R13" s="12">
        <f>1.15*R5</f>
        <v>1897499.9999999998</v>
      </c>
      <c r="S13" s="58">
        <v>1897499.9999999998</v>
      </c>
      <c r="T13" s="38">
        <v>811005.51389999967</v>
      </c>
      <c r="U13" s="38">
        <v>795578.70550000004</v>
      </c>
      <c r="V13" s="38">
        <v>804564.8698999997</v>
      </c>
      <c r="W13" s="38">
        <v>819739.55690000032</v>
      </c>
      <c r="X13" s="38">
        <v>784991.14999999991</v>
      </c>
      <c r="Y13" s="74">
        <v>822699.32799999986</v>
      </c>
      <c r="Z13" s="38"/>
      <c r="AA13" s="38"/>
      <c r="AB13" s="38"/>
      <c r="AC13" s="38"/>
      <c r="AD13" s="38"/>
      <c r="AE13" s="446">
        <v>0</v>
      </c>
      <c r="AF13" s="4">
        <v>667616</v>
      </c>
      <c r="AG13" s="4">
        <v>667616</v>
      </c>
      <c r="AH13" s="4">
        <v>679169</v>
      </c>
      <c r="AI13" s="4">
        <v>667078</v>
      </c>
      <c r="AJ13" s="4">
        <v>657338</v>
      </c>
      <c r="AK13" s="447">
        <v>0</v>
      </c>
      <c r="AQ13" s="447">
        <v>0</v>
      </c>
      <c r="AU13" s="19">
        <v>100122</v>
      </c>
      <c r="AV13" s="19">
        <v>112770</v>
      </c>
      <c r="AW13" s="13">
        <v>201580.05</v>
      </c>
      <c r="BC13" s="13">
        <v>320000</v>
      </c>
      <c r="BG13" s="4">
        <v>10318</v>
      </c>
      <c r="BH13" s="4">
        <v>10289</v>
      </c>
      <c r="BI13" s="13">
        <v>10255</v>
      </c>
    </row>
    <row r="14" spans="1:61" x14ac:dyDescent="0.3">
      <c r="A14" s="42">
        <v>10</v>
      </c>
      <c r="B14" s="55" t="s">
        <v>65</v>
      </c>
      <c r="H14" s="4">
        <v>141043106</v>
      </c>
      <c r="I14" s="18"/>
      <c r="N14" s="410"/>
      <c r="O14" s="18">
        <v>942841582</v>
      </c>
      <c r="P14" s="4">
        <v>791110911</v>
      </c>
      <c r="Q14" s="4">
        <v>920332138</v>
      </c>
      <c r="R14" s="4">
        <v>1116589870</v>
      </c>
      <c r="S14" s="30">
        <v>1381809820</v>
      </c>
      <c r="T14" s="34">
        <v>111484000</v>
      </c>
      <c r="U14" s="34">
        <v>199552000</v>
      </c>
      <c r="V14" s="34">
        <v>197660000</v>
      </c>
      <c r="W14" s="34">
        <v>248084000</v>
      </c>
      <c r="X14" s="34">
        <v>321321000</v>
      </c>
      <c r="Y14" s="40">
        <v>368678303</v>
      </c>
      <c r="Z14" s="34">
        <v>599035939</v>
      </c>
      <c r="AA14" s="34">
        <v>652656687</v>
      </c>
      <c r="AB14" s="34">
        <v>623068737</v>
      </c>
      <c r="AC14" s="34">
        <v>706668503</v>
      </c>
      <c r="AD14" s="34">
        <v>914893475</v>
      </c>
      <c r="AE14" s="40">
        <v>1034650594</v>
      </c>
      <c r="AF14" s="4">
        <v>263667293.86019802</v>
      </c>
      <c r="AG14" s="4">
        <v>259569422.60142002</v>
      </c>
      <c r="AH14" s="4">
        <v>259488367.94259301</v>
      </c>
      <c r="AI14" s="4">
        <v>297531128.11619198</v>
      </c>
      <c r="AJ14" s="4">
        <v>419697411.30034798</v>
      </c>
      <c r="AK14" s="30">
        <v>419218014</v>
      </c>
      <c r="AL14" s="112">
        <v>416917</v>
      </c>
      <c r="AM14" s="112">
        <v>695602</v>
      </c>
      <c r="AN14" s="112">
        <v>693525</v>
      </c>
      <c r="AO14" s="112">
        <v>765442</v>
      </c>
      <c r="AP14" s="112">
        <v>845362</v>
      </c>
      <c r="AQ14" s="113">
        <v>977377206</v>
      </c>
      <c r="AR14" s="112"/>
      <c r="AS14" s="112"/>
      <c r="AT14" s="112"/>
      <c r="AU14" s="112"/>
      <c r="AV14" s="112"/>
      <c r="AW14" s="113">
        <v>0</v>
      </c>
      <c r="AX14" s="112"/>
      <c r="AY14" s="112"/>
      <c r="AZ14" s="112"/>
      <c r="BA14" s="112"/>
      <c r="BB14" s="112"/>
      <c r="BC14" s="113">
        <v>700993</v>
      </c>
      <c r="BD14" s="112"/>
      <c r="BE14" s="112"/>
      <c r="BF14" s="112"/>
      <c r="BG14" s="112"/>
      <c r="BH14" s="112"/>
      <c r="BI14" s="113"/>
    </row>
    <row r="15" spans="1:61" x14ac:dyDescent="0.3">
      <c r="A15" s="42">
        <v>11</v>
      </c>
      <c r="B15" s="59" t="s">
        <v>66</v>
      </c>
      <c r="H15" s="4">
        <v>0</v>
      </c>
      <c r="I15" s="18"/>
      <c r="N15" s="410"/>
      <c r="O15" s="18"/>
      <c r="Q15" s="4"/>
      <c r="R15" s="4"/>
      <c r="S15" s="30">
        <v>0</v>
      </c>
      <c r="V15" s="34"/>
      <c r="W15" s="34"/>
      <c r="X15" s="34"/>
      <c r="Y15" s="40"/>
      <c r="Z15" s="34"/>
      <c r="AA15" s="34"/>
      <c r="AB15" s="34"/>
      <c r="AC15" s="34"/>
      <c r="AD15" s="34"/>
      <c r="AE15" s="40"/>
      <c r="AF15" s="4">
        <v>0</v>
      </c>
      <c r="AG15" s="4">
        <v>0</v>
      </c>
      <c r="AH15" s="4">
        <v>2300000</v>
      </c>
      <c r="AI15" s="4">
        <v>0</v>
      </c>
      <c r="AJ15" s="4">
        <v>0</v>
      </c>
      <c r="AK15" s="30">
        <v>0</v>
      </c>
      <c r="AL15" s="112">
        <v>0</v>
      </c>
      <c r="AM15" s="112">
        <v>0</v>
      </c>
      <c r="AN15" s="112">
        <v>0</v>
      </c>
      <c r="AO15" s="112">
        <v>0</v>
      </c>
      <c r="AP15" s="112">
        <v>0</v>
      </c>
      <c r="AQ15" s="113">
        <v>0</v>
      </c>
      <c r="AR15" s="112"/>
      <c r="AS15" s="112"/>
      <c r="AT15" s="112"/>
      <c r="AU15" s="112"/>
      <c r="AV15" s="112"/>
      <c r="AW15" s="113">
        <v>0</v>
      </c>
      <c r="AX15" s="112"/>
      <c r="AY15" s="112"/>
      <c r="AZ15" s="112"/>
      <c r="BA15" s="112"/>
      <c r="BB15" s="112"/>
      <c r="BC15" s="113">
        <v>0</v>
      </c>
      <c r="BD15" s="112"/>
      <c r="BE15" s="112"/>
      <c r="BF15" s="112"/>
      <c r="BG15" s="112"/>
      <c r="BH15" s="112"/>
      <c r="BI15" s="113"/>
    </row>
    <row r="16" spans="1:61" x14ac:dyDescent="0.3">
      <c r="A16" s="42">
        <v>12</v>
      </c>
      <c r="B16" s="67" t="s">
        <v>17</v>
      </c>
      <c r="H16" s="4">
        <v>0</v>
      </c>
      <c r="I16" s="18"/>
      <c r="N16" s="410"/>
      <c r="O16" s="18"/>
      <c r="P16" s="4">
        <v>35412000</v>
      </c>
      <c r="Q16" s="4">
        <v>142630000</v>
      </c>
      <c r="R16" s="4">
        <v>195910000</v>
      </c>
      <c r="S16" s="30">
        <v>0</v>
      </c>
      <c r="V16" s="34"/>
      <c r="W16" s="34"/>
      <c r="X16" s="34"/>
      <c r="Y16" s="40"/>
      <c r="Z16" s="34"/>
      <c r="AA16" s="34"/>
      <c r="AB16" s="34"/>
      <c r="AC16" s="34"/>
      <c r="AD16" s="34"/>
      <c r="AE16" s="40"/>
      <c r="AF16" s="4">
        <v>0</v>
      </c>
      <c r="AG16" s="4">
        <v>1400000</v>
      </c>
      <c r="AH16" s="4">
        <v>2600000</v>
      </c>
      <c r="AI16" s="4">
        <v>9400000</v>
      </c>
      <c r="AJ16" s="4">
        <v>3900000</v>
      </c>
      <c r="AK16" s="30">
        <v>3496000</v>
      </c>
      <c r="AL16" s="112">
        <v>0</v>
      </c>
      <c r="AM16" s="112">
        <v>107800000</v>
      </c>
      <c r="AN16" s="112">
        <v>14850000</v>
      </c>
      <c r="AO16" s="112">
        <v>20391000</v>
      </c>
      <c r="AP16" s="112">
        <v>0</v>
      </c>
      <c r="AQ16" s="113">
        <v>0</v>
      </c>
      <c r="AR16" s="112"/>
      <c r="AS16" s="112"/>
      <c r="AT16" s="112"/>
      <c r="AU16" s="112"/>
      <c r="AV16" s="112"/>
      <c r="AW16" s="113">
        <v>0</v>
      </c>
      <c r="AX16" s="112"/>
      <c r="AY16" s="112"/>
      <c r="AZ16" s="112"/>
      <c r="BA16" s="112"/>
      <c r="BB16" s="112"/>
      <c r="BC16" s="113">
        <v>0</v>
      </c>
      <c r="BD16" s="112"/>
      <c r="BE16" s="112"/>
      <c r="BF16" s="112"/>
      <c r="BG16" s="112"/>
      <c r="BH16" s="112"/>
      <c r="BI16" s="113"/>
    </row>
    <row r="17" spans="1:61" x14ac:dyDescent="0.3">
      <c r="A17" s="42">
        <v>13</v>
      </c>
      <c r="B17" s="67" t="s">
        <v>28</v>
      </c>
      <c r="H17" s="4">
        <v>0</v>
      </c>
      <c r="I17" s="18"/>
      <c r="N17" s="410"/>
      <c r="O17" s="18">
        <f>SUM(O14:O16)</f>
        <v>942841582</v>
      </c>
      <c r="P17" s="4">
        <f t="shared" ref="P17:AP17" si="0">SUM(P14:P16)</f>
        <v>826522911</v>
      </c>
      <c r="Q17" s="4">
        <f t="shared" si="0"/>
        <v>1062962138</v>
      </c>
      <c r="R17" s="4">
        <f t="shared" si="0"/>
        <v>1312499870</v>
      </c>
      <c r="S17" s="30"/>
      <c r="T17" s="4">
        <f t="shared" si="0"/>
        <v>111484000</v>
      </c>
      <c r="U17" s="4">
        <f t="shared" si="0"/>
        <v>199552000</v>
      </c>
      <c r="V17" s="4">
        <f t="shared" si="0"/>
        <v>197660000</v>
      </c>
      <c r="W17" s="4">
        <f t="shared" si="0"/>
        <v>248084000</v>
      </c>
      <c r="X17" s="4">
        <f t="shared" si="0"/>
        <v>321321000</v>
      </c>
      <c r="Y17" s="4">
        <f t="shared" si="0"/>
        <v>368678303</v>
      </c>
      <c r="Z17" s="30">
        <f t="shared" si="0"/>
        <v>599035939</v>
      </c>
      <c r="AA17" s="30">
        <f t="shared" si="0"/>
        <v>652656687</v>
      </c>
      <c r="AB17" s="30">
        <f t="shared" si="0"/>
        <v>623068737</v>
      </c>
      <c r="AC17" s="30">
        <f t="shared" si="0"/>
        <v>706668503</v>
      </c>
      <c r="AD17" s="4">
        <f t="shared" si="0"/>
        <v>914893475</v>
      </c>
      <c r="AE17" s="4">
        <f t="shared" si="0"/>
        <v>1034650594</v>
      </c>
      <c r="AF17" s="52">
        <f t="shared" si="0"/>
        <v>263667293.86019802</v>
      </c>
      <c r="AG17" s="52">
        <f t="shared" si="0"/>
        <v>260969422.60142002</v>
      </c>
      <c r="AH17" s="52">
        <f t="shared" si="0"/>
        <v>264388367.94259301</v>
      </c>
      <c r="AI17" s="52">
        <f t="shared" si="0"/>
        <v>306931128.11619198</v>
      </c>
      <c r="AJ17" s="52">
        <f t="shared" si="0"/>
        <v>423597411.30034798</v>
      </c>
      <c r="AK17" s="52">
        <f t="shared" si="0"/>
        <v>422714014</v>
      </c>
      <c r="AL17" s="4">
        <f t="shared" si="0"/>
        <v>416917</v>
      </c>
      <c r="AM17" s="4">
        <f t="shared" si="0"/>
        <v>108495602</v>
      </c>
      <c r="AN17" s="4">
        <f t="shared" si="0"/>
        <v>15543525</v>
      </c>
      <c r="AO17" s="4">
        <f t="shared" si="0"/>
        <v>21156442</v>
      </c>
      <c r="AP17" s="4">
        <f t="shared" si="0"/>
        <v>845362</v>
      </c>
      <c r="AQ17" s="30"/>
      <c r="AW17" s="113">
        <v>0</v>
      </c>
      <c r="BC17" s="30">
        <f>SUM(BC14:BC16)</f>
        <v>700993</v>
      </c>
      <c r="BI17" s="30"/>
    </row>
    <row r="18" spans="1:61" x14ac:dyDescent="0.3">
      <c r="A18" s="42">
        <v>14</v>
      </c>
      <c r="B18" s="30" t="s">
        <v>18</v>
      </c>
      <c r="H18" s="4">
        <v>0</v>
      </c>
      <c r="I18" s="18"/>
      <c r="N18" s="410"/>
      <c r="O18" s="68">
        <v>244573029</v>
      </c>
      <c r="P18" s="63">
        <v>242262051</v>
      </c>
      <c r="Q18" s="63">
        <v>181467477</v>
      </c>
      <c r="R18" s="63">
        <v>155366395</v>
      </c>
      <c r="S18" s="69">
        <v>118107018.97999997</v>
      </c>
      <c r="T18" s="34">
        <v>122149000</v>
      </c>
      <c r="U18" s="34">
        <v>120301000</v>
      </c>
      <c r="V18" s="34">
        <v>131307000</v>
      </c>
      <c r="W18" s="34">
        <v>100041466</v>
      </c>
      <c r="X18" s="34">
        <v>88461300</v>
      </c>
      <c r="Y18" s="40">
        <v>78208770</v>
      </c>
      <c r="Z18" s="34">
        <v>153272414</v>
      </c>
      <c r="AA18" s="34">
        <v>132822449</v>
      </c>
      <c r="AB18" s="34">
        <v>157666864</v>
      </c>
      <c r="AC18" s="34">
        <v>98241151</v>
      </c>
      <c r="AD18" s="34">
        <v>60782075</v>
      </c>
      <c r="AE18" s="447">
        <v>24026499</v>
      </c>
      <c r="AF18" s="4">
        <v>63800000</v>
      </c>
      <c r="AG18" s="4">
        <v>65900000.000000007</v>
      </c>
      <c r="AH18" s="4">
        <v>94000000</v>
      </c>
      <c r="AI18" s="4">
        <v>77600000</v>
      </c>
      <c r="AJ18" s="4">
        <v>68400000</v>
      </c>
      <c r="AK18" s="30">
        <v>59607000</v>
      </c>
      <c r="AL18" s="112">
        <v>208035361.13</v>
      </c>
      <c r="AM18" s="112">
        <v>330083787.69</v>
      </c>
      <c r="AN18" s="112">
        <v>386935754.79999995</v>
      </c>
      <c r="AO18" s="112">
        <v>311420600.30000001</v>
      </c>
      <c r="AP18" s="112">
        <v>264756032.39000002</v>
      </c>
      <c r="AQ18" s="113">
        <v>190968224</v>
      </c>
      <c r="AR18" s="112"/>
      <c r="AS18" s="112"/>
      <c r="AT18" s="112"/>
      <c r="AU18" s="112"/>
      <c r="AV18" s="112"/>
      <c r="AW18" s="113">
        <v>0</v>
      </c>
      <c r="AX18" s="112"/>
      <c r="AY18" s="112"/>
      <c r="AZ18" s="112"/>
      <c r="BA18" s="112"/>
      <c r="BB18" s="112"/>
      <c r="BC18" s="113">
        <v>0</v>
      </c>
      <c r="BD18" s="112"/>
      <c r="BE18" s="112"/>
      <c r="BF18" s="112"/>
      <c r="BG18" s="112">
        <v>5228620</v>
      </c>
      <c r="BH18" s="112">
        <v>7234639</v>
      </c>
      <c r="BI18" s="113">
        <v>5352615</v>
      </c>
    </row>
    <row r="19" spans="1:61" x14ac:dyDescent="0.3">
      <c r="A19" s="42">
        <v>15</v>
      </c>
      <c r="B19" s="30" t="s">
        <v>19</v>
      </c>
      <c r="H19" s="4">
        <v>0</v>
      </c>
      <c r="I19" s="18"/>
      <c r="N19" s="410"/>
      <c r="O19" s="70">
        <v>1189650487</v>
      </c>
      <c r="P19" s="71">
        <v>1038142893</v>
      </c>
      <c r="Q19" s="71">
        <v>1105820577</v>
      </c>
      <c r="R19" s="71">
        <v>1274769950</v>
      </c>
      <c r="S19" s="72">
        <v>1502860371</v>
      </c>
      <c r="T19" s="34">
        <v>224515000</v>
      </c>
      <c r="U19" s="34">
        <v>321798000</v>
      </c>
      <c r="V19" s="34">
        <v>318639000</v>
      </c>
      <c r="W19" s="34">
        <v>337625697</v>
      </c>
      <c r="X19" s="34">
        <v>406852918</v>
      </c>
      <c r="Y19" s="40">
        <v>441407548</v>
      </c>
      <c r="Z19" s="34">
        <v>767222944</v>
      </c>
      <c r="AA19" s="34">
        <v>768193461</v>
      </c>
      <c r="AB19" s="34">
        <v>768324489</v>
      </c>
      <c r="AC19" s="34">
        <v>835036342</v>
      </c>
      <c r="AD19" s="34">
        <v>975387537</v>
      </c>
      <c r="AE19" s="40">
        <v>1069314420</v>
      </c>
      <c r="AF19" s="4">
        <v>331374293.86019802</v>
      </c>
      <c r="AG19" s="4">
        <v>329545422.60141999</v>
      </c>
      <c r="AH19" s="4">
        <v>361793367.94259304</v>
      </c>
      <c r="AI19" s="4">
        <v>388312128.11619204</v>
      </c>
      <c r="AJ19" s="4">
        <v>496516411.30034798</v>
      </c>
      <c r="AK19" s="30">
        <v>495706014</v>
      </c>
      <c r="AL19" s="112">
        <v>609570970.10000002</v>
      </c>
      <c r="AM19" s="112">
        <v>1017087047.1900001</v>
      </c>
      <c r="AN19" s="112">
        <v>1052577283.88</v>
      </c>
      <c r="AO19" s="112">
        <v>1042610144.66</v>
      </c>
      <c r="AP19" s="112">
        <v>1114150630.96</v>
      </c>
      <c r="AQ19" s="113">
        <v>1168345430</v>
      </c>
      <c r="AR19" s="112"/>
      <c r="AS19" s="112"/>
      <c r="AT19" s="112"/>
      <c r="AU19" s="112"/>
      <c r="AV19" s="112"/>
      <c r="AW19" s="113">
        <v>0</v>
      </c>
      <c r="AX19" s="112"/>
      <c r="AY19" s="112"/>
      <c r="AZ19" s="112"/>
      <c r="BA19" s="112"/>
      <c r="BB19" s="112"/>
      <c r="BC19" s="113">
        <v>0</v>
      </c>
      <c r="BD19" s="112"/>
      <c r="BE19" s="112"/>
      <c r="BF19" s="112"/>
      <c r="BG19" s="112">
        <v>27099852</v>
      </c>
      <c r="BH19" s="112">
        <v>26149934</v>
      </c>
      <c r="BI19" s="113">
        <v>27151788</v>
      </c>
    </row>
    <row r="20" spans="1:61" x14ac:dyDescent="0.3">
      <c r="A20" s="42">
        <v>16</v>
      </c>
      <c r="B20" s="60" t="s">
        <v>20</v>
      </c>
      <c r="H20" s="4">
        <v>0</v>
      </c>
      <c r="I20" s="18"/>
      <c r="N20" s="410"/>
      <c r="O20" s="18"/>
      <c r="Q20" s="4"/>
      <c r="R20" s="4"/>
      <c r="S20" s="30">
        <v>0</v>
      </c>
      <c r="T20" s="34">
        <v>12876000</v>
      </c>
      <c r="U20" s="34">
        <v>9013000</v>
      </c>
      <c r="V20" s="34">
        <v>12299000</v>
      </c>
      <c r="W20" s="34">
        <v>14346000</v>
      </c>
      <c r="X20" s="34">
        <v>6229000</v>
      </c>
      <c r="Y20" s="40">
        <v>7611175</v>
      </c>
      <c r="Z20" s="34"/>
      <c r="AA20" s="34"/>
      <c r="AB20" s="34"/>
      <c r="AC20" s="34"/>
      <c r="AD20" s="34"/>
      <c r="AE20" s="40"/>
      <c r="AF20" s="4">
        <v>0</v>
      </c>
      <c r="AG20" s="4">
        <v>0</v>
      </c>
      <c r="AH20" s="4">
        <v>0</v>
      </c>
      <c r="AI20" s="4">
        <v>0</v>
      </c>
      <c r="AJ20" s="4">
        <v>0</v>
      </c>
      <c r="AK20" s="30"/>
      <c r="AL20" s="112"/>
      <c r="AM20" s="112"/>
      <c r="AN20" s="112"/>
      <c r="AO20" s="112"/>
      <c r="AP20" s="112"/>
      <c r="AQ20" s="113"/>
      <c r="AR20" s="112"/>
      <c r="AS20" s="112"/>
      <c r="AT20" s="112"/>
      <c r="AU20" s="112"/>
      <c r="AV20" s="112"/>
      <c r="AW20" s="113">
        <v>0</v>
      </c>
      <c r="AX20" s="112"/>
      <c r="AY20" s="112"/>
      <c r="AZ20" s="112"/>
      <c r="BA20" s="112"/>
      <c r="BB20" s="112"/>
      <c r="BC20" s="113">
        <v>0</v>
      </c>
      <c r="BD20" s="112"/>
      <c r="BE20" s="112"/>
      <c r="BF20" s="112"/>
      <c r="BG20" s="112"/>
      <c r="BH20" s="112"/>
      <c r="BI20" s="113"/>
    </row>
    <row r="21" spans="1:61" x14ac:dyDescent="0.3">
      <c r="A21" s="42">
        <v>17</v>
      </c>
      <c r="B21" s="60" t="s">
        <v>21</v>
      </c>
      <c r="H21" s="4">
        <v>0</v>
      </c>
      <c r="I21" s="18"/>
      <c r="N21" s="410"/>
      <c r="O21" s="68">
        <v>1189650487</v>
      </c>
      <c r="P21" s="63">
        <v>1038142893</v>
      </c>
      <c r="Q21" s="63">
        <v>1105820577</v>
      </c>
      <c r="R21" s="63">
        <v>1274769950</v>
      </c>
      <c r="S21" s="69">
        <v>1502860371</v>
      </c>
      <c r="T21" s="34">
        <f>SUM(T19:T20)</f>
        <v>237391000</v>
      </c>
      <c r="U21" s="34">
        <f t="shared" ref="U21:AD21" si="1">SUM(U19:U20)</f>
        <v>330811000</v>
      </c>
      <c r="V21" s="34">
        <f t="shared" si="1"/>
        <v>330938000</v>
      </c>
      <c r="W21" s="34">
        <f t="shared" si="1"/>
        <v>351971697</v>
      </c>
      <c r="X21" s="34">
        <f t="shared" si="1"/>
        <v>413081918</v>
      </c>
      <c r="Y21" s="40">
        <v>449018723</v>
      </c>
      <c r="Z21" s="34">
        <f t="shared" si="1"/>
        <v>767222944</v>
      </c>
      <c r="AA21" s="34">
        <f t="shared" si="1"/>
        <v>768193461</v>
      </c>
      <c r="AB21" s="34">
        <f t="shared" si="1"/>
        <v>768324489</v>
      </c>
      <c r="AC21" s="34">
        <f t="shared" si="1"/>
        <v>835036342</v>
      </c>
      <c r="AD21" s="34">
        <f t="shared" si="1"/>
        <v>975387537</v>
      </c>
      <c r="AE21" s="40">
        <v>1069314420</v>
      </c>
      <c r="AF21" s="4">
        <v>331374293.86019802</v>
      </c>
      <c r="AG21" s="4">
        <v>329545422.60141999</v>
      </c>
      <c r="AH21" s="4">
        <v>361793367.94259304</v>
      </c>
      <c r="AI21" s="4">
        <v>388312128.11619204</v>
      </c>
      <c r="AJ21" s="4">
        <v>496516411.30034798</v>
      </c>
      <c r="AK21" s="30">
        <v>495706014</v>
      </c>
      <c r="AL21" s="4">
        <f>SUM(AL19:AL20)</f>
        <v>609570970.10000002</v>
      </c>
      <c r="AM21" s="4">
        <f t="shared" ref="AM21:AP21" si="2">SUM(AM19:AM20)</f>
        <v>1017087047.1900001</v>
      </c>
      <c r="AN21" s="4">
        <f t="shared" si="2"/>
        <v>1052577283.88</v>
      </c>
      <c r="AO21" s="4">
        <f t="shared" si="2"/>
        <v>1042610144.66</v>
      </c>
      <c r="AP21" s="4">
        <f t="shared" si="2"/>
        <v>1114150630.96</v>
      </c>
      <c r="AQ21" s="30">
        <v>1168345430</v>
      </c>
      <c r="AW21" s="113">
        <v>0</v>
      </c>
      <c r="BC21" s="30">
        <v>0</v>
      </c>
      <c r="BI21" s="30"/>
    </row>
    <row r="22" spans="1:61" x14ac:dyDescent="0.3">
      <c r="A22" s="42">
        <v>18</v>
      </c>
      <c r="B22" s="30" t="s">
        <v>95</v>
      </c>
      <c r="C22" s="4">
        <v>12</v>
      </c>
      <c r="D22" s="4">
        <v>12</v>
      </c>
      <c r="E22" s="4">
        <v>12</v>
      </c>
      <c r="F22" s="4">
        <v>12</v>
      </c>
      <c r="G22" s="4">
        <v>12</v>
      </c>
      <c r="I22" s="18">
        <v>17</v>
      </c>
      <c r="J22" s="4">
        <v>16</v>
      </c>
      <c r="K22" s="4">
        <v>14</v>
      </c>
      <c r="M22" s="4">
        <v>15</v>
      </c>
      <c r="O22" s="18">
        <f t="shared" ref="O22:X22" si="3">SUM(O23:O24)</f>
        <v>30</v>
      </c>
      <c r="P22" s="4">
        <f t="shared" si="3"/>
        <v>30</v>
      </c>
      <c r="Q22" s="4">
        <f t="shared" si="3"/>
        <v>30</v>
      </c>
      <c r="R22" s="4">
        <f t="shared" si="3"/>
        <v>30</v>
      </c>
      <c r="S22" s="30"/>
      <c r="T22" s="4">
        <f t="shared" si="3"/>
        <v>15</v>
      </c>
      <c r="U22" s="4">
        <f t="shared" si="3"/>
        <v>15</v>
      </c>
      <c r="V22" s="4">
        <f t="shared" si="3"/>
        <v>15</v>
      </c>
      <c r="W22" s="4">
        <f t="shared" si="3"/>
        <v>15</v>
      </c>
      <c r="X22" s="4">
        <f t="shared" si="3"/>
        <v>15</v>
      </c>
      <c r="Y22" s="30"/>
      <c r="Z22" s="4">
        <f>SUM(Z23:Z23)</f>
        <v>23</v>
      </c>
      <c r="AA22" s="4">
        <f>SUM(AA23:AA23)</f>
        <v>23</v>
      </c>
      <c r="AB22" s="4">
        <f>SUM(AB23:AB23)</f>
        <v>23</v>
      </c>
      <c r="AC22" s="4">
        <f>SUM(AC23:AC23)</f>
        <v>23</v>
      </c>
      <c r="AD22" s="4">
        <f>SUM(AD23:AD23)</f>
        <v>23</v>
      </c>
      <c r="AE22" s="30"/>
      <c r="AG22" s="95" t="s">
        <v>228</v>
      </c>
      <c r="AK22" s="30"/>
      <c r="AL22" s="19">
        <v>44</v>
      </c>
      <c r="AM22" s="19">
        <v>44</v>
      </c>
      <c r="AN22" s="19">
        <v>44</v>
      </c>
      <c r="AO22" s="19">
        <v>42</v>
      </c>
      <c r="AP22" s="19">
        <v>38</v>
      </c>
      <c r="AQ22" s="13"/>
      <c r="AR22" s="19"/>
      <c r="AS22" s="19"/>
      <c r="AT22" s="19"/>
      <c r="AU22" s="19"/>
      <c r="AV22" s="19"/>
      <c r="AW22" s="13"/>
      <c r="AX22" s="19"/>
      <c r="AY22" s="19"/>
      <c r="AZ22" s="19"/>
      <c r="BA22" s="19"/>
      <c r="BB22" s="19"/>
      <c r="BC22" s="13"/>
      <c r="BD22" s="19"/>
      <c r="BE22" s="19"/>
      <c r="BF22" s="19"/>
      <c r="BG22" s="19"/>
      <c r="BH22" s="19"/>
      <c r="BI22" s="13"/>
    </row>
    <row r="23" spans="1:61" x14ac:dyDescent="0.3">
      <c r="A23" s="42">
        <v>19</v>
      </c>
      <c r="B23" s="30" t="s">
        <v>80</v>
      </c>
      <c r="I23" s="18"/>
      <c r="O23" s="18">
        <v>8</v>
      </c>
      <c r="P23" s="4">
        <v>8</v>
      </c>
      <c r="Q23" s="4">
        <v>8</v>
      </c>
      <c r="R23" s="4">
        <v>8</v>
      </c>
      <c r="S23" s="30"/>
      <c r="T23" s="34">
        <v>11</v>
      </c>
      <c r="U23" s="34">
        <v>11</v>
      </c>
      <c r="V23" s="34">
        <v>11</v>
      </c>
      <c r="W23" s="34">
        <v>11</v>
      </c>
      <c r="X23" s="34">
        <v>11</v>
      </c>
      <c r="Y23" s="40"/>
      <c r="Z23" s="34">
        <v>23</v>
      </c>
      <c r="AA23" s="34">
        <v>23</v>
      </c>
      <c r="AB23" s="34">
        <v>23</v>
      </c>
      <c r="AC23" s="34">
        <v>23</v>
      </c>
      <c r="AD23" s="34">
        <v>23</v>
      </c>
      <c r="AE23" s="40"/>
      <c r="AK23" s="30"/>
      <c r="AL23" s="112"/>
      <c r="AM23" s="112"/>
      <c r="AN23" s="112"/>
      <c r="AO23" s="112"/>
      <c r="AP23" s="112"/>
      <c r="AQ23" s="113"/>
      <c r="AR23" s="112"/>
      <c r="AS23" s="112"/>
      <c r="AT23" s="112"/>
      <c r="AU23" s="112"/>
      <c r="AV23" s="112"/>
      <c r="AW23" s="113"/>
      <c r="AX23" s="112"/>
      <c r="AY23" s="112"/>
      <c r="AZ23" s="112"/>
      <c r="BA23" s="112"/>
      <c r="BB23" s="112"/>
      <c r="BC23" s="113"/>
      <c r="BD23" s="112"/>
      <c r="BE23" s="112"/>
      <c r="BF23" s="112"/>
      <c r="BG23" s="112"/>
      <c r="BH23" s="112"/>
      <c r="BI23" s="113"/>
    </row>
    <row r="24" spans="1:61" x14ac:dyDescent="0.3">
      <c r="A24" s="42">
        <v>20</v>
      </c>
      <c r="B24" s="30" t="s">
        <v>81</v>
      </c>
      <c r="I24" s="18"/>
      <c r="O24" s="18">
        <v>22</v>
      </c>
      <c r="P24" s="4">
        <v>22</v>
      </c>
      <c r="Q24" s="4">
        <v>22</v>
      </c>
      <c r="R24" s="4">
        <v>22</v>
      </c>
      <c r="S24" s="30"/>
      <c r="T24" s="34">
        <v>4</v>
      </c>
      <c r="U24" s="34">
        <v>4</v>
      </c>
      <c r="V24" s="34">
        <v>4</v>
      </c>
      <c r="W24" s="34">
        <v>4</v>
      </c>
      <c r="X24" s="34">
        <v>4</v>
      </c>
      <c r="Y24" s="40"/>
      <c r="AE24" s="30"/>
      <c r="AK24" s="30"/>
      <c r="AQ24" s="30"/>
      <c r="AW24" s="30"/>
      <c r="BC24" s="30"/>
      <c r="BI24" s="30"/>
    </row>
    <row r="25" spans="1:61" x14ac:dyDescent="0.3">
      <c r="A25" s="42">
        <v>21</v>
      </c>
      <c r="B25" s="30" t="s">
        <v>71</v>
      </c>
      <c r="C25" s="34">
        <v>2698</v>
      </c>
      <c r="D25" s="34">
        <v>2550</v>
      </c>
      <c r="E25" s="226">
        <v>2269</v>
      </c>
      <c r="F25" s="34">
        <v>2724</v>
      </c>
      <c r="G25" s="34">
        <v>2491</v>
      </c>
      <c r="H25" s="34"/>
      <c r="I25" s="83"/>
      <c r="J25" s="34"/>
      <c r="K25" s="34"/>
      <c r="L25" s="34"/>
      <c r="M25" s="34"/>
      <c r="N25" s="34"/>
      <c r="O25" s="33">
        <v>49600</v>
      </c>
      <c r="P25" s="11">
        <v>33100</v>
      </c>
      <c r="Q25" s="11">
        <v>23300</v>
      </c>
      <c r="R25" s="11">
        <v>18500</v>
      </c>
      <c r="S25" s="53"/>
      <c r="T25" s="34">
        <v>18625</v>
      </c>
      <c r="U25" s="34">
        <v>13989</v>
      </c>
      <c r="V25" s="34">
        <v>12403</v>
      </c>
      <c r="W25" s="34">
        <f>11052+1023</f>
        <v>12075</v>
      </c>
      <c r="X25" s="34">
        <f>11363+1065</f>
        <v>12428</v>
      </c>
      <c r="Y25" s="40"/>
      <c r="Z25" s="34">
        <v>60266</v>
      </c>
      <c r="AA25" s="34">
        <v>58351</v>
      </c>
      <c r="AB25" s="34">
        <v>56390</v>
      </c>
      <c r="AC25" s="34">
        <v>59348</v>
      </c>
      <c r="AD25" s="34">
        <v>58691</v>
      </c>
      <c r="AE25" s="40"/>
      <c r="AG25" s="4">
        <v>18583</v>
      </c>
      <c r="AH25" s="4">
        <v>20763</v>
      </c>
      <c r="AI25" s="4">
        <v>21701</v>
      </c>
      <c r="AJ25" s="4">
        <v>19251</v>
      </c>
      <c r="AK25" s="30"/>
      <c r="AL25" s="4">
        <v>58991.830800000003</v>
      </c>
      <c r="AM25" s="4">
        <v>58223.018980000008</v>
      </c>
      <c r="AN25" s="4">
        <v>47626.729339999998</v>
      </c>
      <c r="AO25" s="4">
        <v>36073.774471999997</v>
      </c>
      <c r="AP25" s="4">
        <v>30786.353211000012</v>
      </c>
      <c r="AQ25" s="30"/>
      <c r="AW25" s="30"/>
      <c r="BC25" s="30"/>
      <c r="BI25" s="30"/>
    </row>
    <row r="26" spans="1:61" x14ac:dyDescent="0.3">
      <c r="A26" s="42"/>
      <c r="B26" s="125" t="s">
        <v>36</v>
      </c>
      <c r="I26" s="18"/>
      <c r="O26" s="18"/>
      <c r="Q26" s="4"/>
      <c r="R26" s="4"/>
      <c r="S26" s="30"/>
      <c r="V26" s="34"/>
      <c r="W26" s="34"/>
      <c r="X26" s="34"/>
      <c r="Y26" s="40"/>
      <c r="Z26" s="34"/>
      <c r="AA26" s="34"/>
      <c r="AB26" s="34"/>
      <c r="AC26" s="34"/>
      <c r="AD26" s="34"/>
      <c r="AE26" s="40"/>
      <c r="AK26" s="30"/>
      <c r="AQ26" s="30"/>
      <c r="AW26" s="30"/>
      <c r="BC26" s="30"/>
      <c r="BI26" s="30"/>
    </row>
    <row r="27" spans="1:61" x14ac:dyDescent="0.3">
      <c r="A27" s="42">
        <v>23</v>
      </c>
      <c r="B27" s="31" t="s">
        <v>35</v>
      </c>
      <c r="I27" s="18"/>
      <c r="O27" s="18"/>
      <c r="Q27" s="4"/>
      <c r="R27" s="4"/>
      <c r="S27" s="30"/>
      <c r="V27" s="34"/>
      <c r="W27" s="34"/>
      <c r="X27" s="34"/>
      <c r="Y27" s="40"/>
      <c r="AE27" s="30"/>
      <c r="AK27" s="30"/>
      <c r="AQ27" s="30"/>
      <c r="AW27" s="30"/>
      <c r="BC27" s="30"/>
      <c r="BI27" s="30"/>
    </row>
    <row r="28" spans="1:61" x14ac:dyDescent="0.3">
      <c r="A28" s="42">
        <v>25</v>
      </c>
      <c r="B28" s="2" t="s">
        <v>47</v>
      </c>
      <c r="C28" s="109"/>
      <c r="D28" s="109"/>
      <c r="E28" s="109"/>
      <c r="F28" s="109"/>
      <c r="G28" s="109"/>
      <c r="H28" s="126"/>
      <c r="I28" s="109"/>
      <c r="J28" s="109"/>
      <c r="K28" s="109"/>
      <c r="L28" s="109"/>
      <c r="M28" s="109"/>
      <c r="N28" s="126"/>
      <c r="O28" s="109">
        <f>O18/O21</f>
        <v>0.20558393551096826</v>
      </c>
      <c r="P28" s="109">
        <f t="shared" ref="P28:AP28" si="4">P18/P21</f>
        <v>0.2333609878115305</v>
      </c>
      <c r="Q28" s="109">
        <f t="shared" si="4"/>
        <v>0.16410209827376002</v>
      </c>
      <c r="R28" s="109">
        <f t="shared" si="4"/>
        <v>0.12187798669085352</v>
      </c>
      <c r="S28" s="126"/>
      <c r="T28" s="109">
        <f t="shared" si="4"/>
        <v>0.51454772927364556</v>
      </c>
      <c r="U28" s="109">
        <f t="shared" si="4"/>
        <v>0.36365477568762827</v>
      </c>
      <c r="V28" s="109">
        <f t="shared" si="4"/>
        <v>0.3967722050656014</v>
      </c>
      <c r="W28" s="109">
        <f t="shared" si="4"/>
        <v>0.28423156422148343</v>
      </c>
      <c r="X28" s="109">
        <f t="shared" si="4"/>
        <v>0.21414953341046508</v>
      </c>
      <c r="Y28" s="109">
        <f t="shared" si="4"/>
        <v>0.17417707991655396</v>
      </c>
      <c r="Z28" s="109">
        <f t="shared" si="4"/>
        <v>0.19977558700330006</v>
      </c>
      <c r="AA28" s="109">
        <f t="shared" si="4"/>
        <v>0.17290234263006829</v>
      </c>
      <c r="AB28" s="109">
        <f t="shared" si="4"/>
        <v>0.20520869275585463</v>
      </c>
      <c r="AC28" s="109">
        <f t="shared" si="4"/>
        <v>0.1176489525769646</v>
      </c>
      <c r="AD28" s="109">
        <f t="shared" si="4"/>
        <v>6.2315820834606378E-2</v>
      </c>
      <c r="AE28" s="126"/>
      <c r="AF28" s="109">
        <f t="shared" si="4"/>
        <v>0.19253153060483408</v>
      </c>
      <c r="AG28" s="109">
        <f t="shared" si="4"/>
        <v>0.19997243317715574</v>
      </c>
      <c r="AH28" s="109">
        <f t="shared" si="4"/>
        <v>0.25981681348817676</v>
      </c>
      <c r="AI28" s="109">
        <f t="shared" si="4"/>
        <v>0.1998392385436395</v>
      </c>
      <c r="AJ28" s="109">
        <f t="shared" si="4"/>
        <v>0.13775979694379956</v>
      </c>
      <c r="AK28" s="126"/>
      <c r="AL28" s="109">
        <f t="shared" si="4"/>
        <v>0.34128160843334093</v>
      </c>
      <c r="AM28" s="109">
        <f t="shared" si="4"/>
        <v>0.32453838499069754</v>
      </c>
      <c r="AN28" s="109">
        <f t="shared" si="4"/>
        <v>0.36760792839237533</v>
      </c>
      <c r="AO28" s="109">
        <f t="shared" si="4"/>
        <v>0.29869323821087096</v>
      </c>
      <c r="AP28" s="109">
        <f t="shared" si="4"/>
        <v>0.23763037513327515</v>
      </c>
      <c r="AQ28" s="126"/>
      <c r="AR28" s="109"/>
      <c r="AS28" s="109"/>
      <c r="AT28" s="109"/>
      <c r="AU28" s="109"/>
      <c r="AV28" s="109"/>
      <c r="AW28" s="126"/>
      <c r="AX28" s="109"/>
      <c r="AY28" s="109"/>
      <c r="AZ28" s="109"/>
      <c r="BA28" s="109"/>
      <c r="BB28" s="109"/>
      <c r="BC28" s="126"/>
      <c r="BD28" s="109"/>
      <c r="BE28" s="109"/>
      <c r="BF28" s="109"/>
      <c r="BG28" s="109"/>
      <c r="BH28" s="109"/>
      <c r="BI28" s="126"/>
    </row>
    <row r="29" spans="1:61" x14ac:dyDescent="0.3">
      <c r="A29" s="42">
        <v>26</v>
      </c>
      <c r="B29" s="2" t="s">
        <v>46</v>
      </c>
      <c r="H29" s="30"/>
      <c r="N29" s="30"/>
      <c r="Q29" s="4"/>
      <c r="R29" s="4"/>
      <c r="S29" s="30"/>
      <c r="V29" s="34"/>
      <c r="W29" s="34"/>
      <c r="X29" s="34"/>
      <c r="Y29" s="40"/>
      <c r="AE29" s="30"/>
      <c r="AK29" s="30"/>
      <c r="AQ29" s="30"/>
      <c r="AW29" s="30"/>
      <c r="BC29" s="30"/>
      <c r="BI29" s="30"/>
    </row>
    <row r="30" spans="1:61" x14ac:dyDescent="0.3">
      <c r="A30" s="42">
        <v>28</v>
      </c>
      <c r="B30" s="2" t="s">
        <v>107</v>
      </c>
      <c r="H30" s="30"/>
      <c r="N30" s="30"/>
      <c r="O30" s="4">
        <f>O19/O11</f>
        <v>36.71503757082683</v>
      </c>
      <c r="P30" s="4">
        <f t="shared" ref="P30:AJ30" si="5">P19/P11</f>
        <v>28.076673521426383</v>
      </c>
      <c r="Q30" s="4">
        <f t="shared" si="5"/>
        <v>31.318135842619469</v>
      </c>
      <c r="R30" s="4">
        <f t="shared" si="5"/>
        <v>40.458117735961395</v>
      </c>
      <c r="S30" s="30"/>
      <c r="T30" s="4">
        <f t="shared" si="5"/>
        <v>13.649346351482935</v>
      </c>
      <c r="U30" s="4">
        <f t="shared" si="5"/>
        <v>21.252386202770026</v>
      </c>
      <c r="V30" s="4">
        <f t="shared" si="5"/>
        <v>21.043757564236788</v>
      </c>
      <c r="W30" s="4">
        <f t="shared" si="5"/>
        <v>22.694881247411846</v>
      </c>
      <c r="X30" s="4">
        <f t="shared" si="5"/>
        <v>26.70249934489955</v>
      </c>
      <c r="Z30" s="4">
        <f t="shared" si="5"/>
        <v>19.358692933682814</v>
      </c>
      <c r="AA30" s="4">
        <f t="shared" si="5"/>
        <v>22.319494663977032</v>
      </c>
      <c r="AB30" s="4">
        <f t="shared" si="5"/>
        <v>76.241894434092401</v>
      </c>
      <c r="AC30" s="4">
        <f t="shared" si="5"/>
        <v>27.530892751728146</v>
      </c>
      <c r="AD30" s="4">
        <f t="shared" si="5"/>
        <v>28.950841146361107</v>
      </c>
      <c r="AE30" s="30"/>
      <c r="AF30" s="4">
        <f t="shared" si="5"/>
        <v>22.507993461185439</v>
      </c>
      <c r="AG30" s="4">
        <f t="shared" si="5"/>
        <v>27.684277959675235</v>
      </c>
      <c r="AH30" s="4">
        <f t="shared" si="5"/>
        <v>32.371601294690322</v>
      </c>
      <c r="AI30" s="4">
        <f t="shared" si="5"/>
        <v>30.62935466653121</v>
      </c>
      <c r="AJ30" s="4">
        <f t="shared" si="5"/>
        <v>35.996981667691053</v>
      </c>
      <c r="AK30" s="30"/>
      <c r="AL30" s="4">
        <f>AL18/AL9</f>
        <v>31.702839014136149</v>
      </c>
      <c r="AM30" s="4">
        <f>AM18/AM9</f>
        <v>53.915102930473054</v>
      </c>
      <c r="AN30" s="4">
        <f>AN18/AN9</f>
        <v>59.411144678948432</v>
      </c>
      <c r="AO30" s="4">
        <f>AO18/AO9</f>
        <v>48.132627110261247</v>
      </c>
      <c r="AP30" s="4">
        <f>AP18/AP9</f>
        <v>39.967307169118619</v>
      </c>
      <c r="AQ30" s="30"/>
      <c r="AW30" s="30"/>
      <c r="BC30" s="30"/>
      <c r="BI30" s="30"/>
    </row>
    <row r="31" spans="1:61" x14ac:dyDescent="0.3">
      <c r="A31" s="42">
        <v>29</v>
      </c>
      <c r="B31" s="2" t="s">
        <v>41</v>
      </c>
      <c r="H31" s="30"/>
      <c r="N31" s="30"/>
      <c r="O31" s="4">
        <f>O21/O7</f>
        <v>248.51691811155212</v>
      </c>
      <c r="P31" s="4">
        <f t="shared" ref="P31:AI31" si="6">P21/P7</f>
        <v>203.55743000000001</v>
      </c>
      <c r="Q31" s="4">
        <f t="shared" si="6"/>
        <v>211.11503951890035</v>
      </c>
      <c r="R31" s="4">
        <f t="shared" si="6"/>
        <v>237.34312977099236</v>
      </c>
      <c r="S31" s="30"/>
      <c r="T31" s="4">
        <f t="shared" si="6"/>
        <v>98.12954188555095</v>
      </c>
      <c r="U31" s="4">
        <f t="shared" si="6"/>
        <v>157.57174205772898</v>
      </c>
      <c r="V31" s="4">
        <f t="shared" si="6"/>
        <v>150.70353964152059</v>
      </c>
      <c r="W31" s="4">
        <f t="shared" si="6"/>
        <v>168.20204649535759</v>
      </c>
      <c r="X31" s="4">
        <f t="shared" si="6"/>
        <v>182.47344190632356</v>
      </c>
      <c r="Z31" s="4">
        <f t="shared" si="6"/>
        <v>242.25336380144532</v>
      </c>
      <c r="AA31" s="4">
        <f t="shared" si="6"/>
        <v>272.08975744419047</v>
      </c>
      <c r="AB31" s="4">
        <f t="shared" si="6"/>
        <v>335.12843083502025</v>
      </c>
      <c r="AC31" s="4">
        <f t="shared" si="6"/>
        <v>357.90160577246593</v>
      </c>
      <c r="AD31" s="4">
        <f t="shared" si="6"/>
        <v>376.3609349026944</v>
      </c>
      <c r="AE31" s="30"/>
      <c r="AF31" s="4">
        <f t="shared" si="6"/>
        <v>192.61479102243027</v>
      </c>
      <c r="AG31" s="4">
        <f t="shared" si="6"/>
        <v>229.75885450245761</v>
      </c>
      <c r="AH31" s="4">
        <f t="shared" si="6"/>
        <v>269.76333607669312</v>
      </c>
      <c r="AI31" s="4">
        <f t="shared" si="6"/>
        <v>264.45420693538409</v>
      </c>
      <c r="AJ31" s="4">
        <f>AJ21/AJ7</f>
        <v>311.93840302890533</v>
      </c>
      <c r="AK31" s="30"/>
      <c r="AL31" s="4">
        <f t="shared" ref="AL31:AP31" si="7">AL21/AL7</f>
        <v>137.75300724209458</v>
      </c>
      <c r="AM31" s="4">
        <f t="shared" si="7"/>
        <v>253.62596667984147</v>
      </c>
      <c r="AN31" s="4">
        <f t="shared" si="7"/>
        <v>247.32486605610302</v>
      </c>
      <c r="AO31" s="4">
        <f t="shared" si="7"/>
        <v>244.1233699983118</v>
      </c>
      <c r="AP31" s="4">
        <f t="shared" si="7"/>
        <v>250.97399908589338</v>
      </c>
      <c r="AQ31" s="30"/>
      <c r="AW31" s="30"/>
      <c r="BC31" s="30"/>
      <c r="BI31" s="30"/>
    </row>
    <row r="32" spans="1:61" x14ac:dyDescent="0.3">
      <c r="A32" s="42">
        <v>30</v>
      </c>
      <c r="B32" s="2" t="s">
        <v>42</v>
      </c>
      <c r="H32" s="30"/>
      <c r="N32" s="30"/>
      <c r="O32" s="4">
        <f>O18/O7</f>
        <v>51.091086066429916</v>
      </c>
      <c r="P32" s="4">
        <f t="shared" ref="P32:AP32" si="8">P18/P7</f>
        <v>47.502362941176472</v>
      </c>
      <c r="Q32" s="4">
        <f t="shared" si="8"/>
        <v>34.644420962199312</v>
      </c>
      <c r="R32" s="4">
        <f t="shared" si="8"/>
        <v>28.926902811394527</v>
      </c>
      <c r="S32" s="30"/>
      <c r="T32" s="4">
        <f t="shared" si="8"/>
        <v>50.492332951873337</v>
      </c>
      <c r="U32" s="4">
        <f t="shared" si="8"/>
        <v>57.301716512712254</v>
      </c>
      <c r="V32" s="4">
        <f t="shared" si="8"/>
        <v>59.794975734757401</v>
      </c>
      <c r="W32" s="4">
        <f t="shared" si="8"/>
        <v>47.808330780630165</v>
      </c>
      <c r="X32" s="4">
        <f t="shared" si="8"/>
        <v>39.076602444040795</v>
      </c>
      <c r="Z32" s="4">
        <f t="shared" si="8"/>
        <v>48.396307956957742</v>
      </c>
      <c r="AA32" s="4">
        <f t="shared" si="8"/>
        <v>47.044956467747596</v>
      </c>
      <c r="AB32" s="4">
        <f t="shared" si="8"/>
        <v>68.771267196975344</v>
      </c>
      <c r="AC32" s="4">
        <f t="shared" si="8"/>
        <v>42.106749044744326</v>
      </c>
      <c r="AD32" s="4">
        <f t="shared" si="8"/>
        <v>23.453240588541256</v>
      </c>
      <c r="AE32" s="30"/>
      <c r="AF32" s="4">
        <f t="shared" si="8"/>
        <v>37.084420532678756</v>
      </c>
      <c r="AG32" s="4">
        <f t="shared" si="8"/>
        <v>45.945437178852558</v>
      </c>
      <c r="AH32" s="4">
        <f t="shared" si="8"/>
        <v>70.08905037538652</v>
      </c>
      <c r="AI32" s="4">
        <f t="shared" si="8"/>
        <v>52.848327343629222</v>
      </c>
      <c r="AJ32" s="4">
        <f t="shared" si="8"/>
        <v>42.972571060235104</v>
      </c>
      <c r="AK32" s="30"/>
      <c r="AL32" s="4">
        <f t="shared" si="8"/>
        <v>47.01256787811171</v>
      </c>
      <c r="AM32" s="4">
        <f t="shared" si="8"/>
        <v>82.311361617980211</v>
      </c>
      <c r="AN32" s="4">
        <f t="shared" si="8"/>
        <v>90.918581650805734</v>
      </c>
      <c r="AO32" s="4">
        <f t="shared" si="8"/>
        <v>72.917999907746335</v>
      </c>
      <c r="AP32" s="4">
        <f t="shared" si="8"/>
        <v>59.6390455514791</v>
      </c>
      <c r="AQ32" s="30"/>
      <c r="AW32" s="30"/>
      <c r="BC32" s="30"/>
      <c r="BI32" s="30"/>
    </row>
    <row r="33" spans="1:61" x14ac:dyDescent="0.3">
      <c r="A33" s="42">
        <v>31</v>
      </c>
      <c r="B33" s="2" t="s">
        <v>43</v>
      </c>
      <c r="H33" s="30"/>
      <c r="N33" s="30"/>
      <c r="O33" s="4">
        <f>O17/O7</f>
        <v>196.9587595571339</v>
      </c>
      <c r="P33" s="4">
        <f t="shared" ref="P33:AJ33" si="9">P17/P7</f>
        <v>162.06331588235295</v>
      </c>
      <c r="Q33" s="4">
        <f t="shared" si="9"/>
        <v>202.93282512409317</v>
      </c>
      <c r="R33" s="4">
        <f t="shared" si="9"/>
        <v>244.36787749022528</v>
      </c>
      <c r="S33" s="30"/>
      <c r="T33" s="4">
        <f t="shared" si="9"/>
        <v>46.083776754673778</v>
      </c>
      <c r="U33" s="4">
        <f t="shared" si="9"/>
        <v>95.050516068401393</v>
      </c>
      <c r="V33" s="4">
        <f t="shared" si="9"/>
        <v>90.011004011455199</v>
      </c>
      <c r="W33" s="4">
        <f t="shared" si="9"/>
        <v>118.55565904423926</v>
      </c>
      <c r="X33" s="4">
        <f t="shared" si="9"/>
        <v>141.93927710673066</v>
      </c>
      <c r="Z33" s="4">
        <f t="shared" si="9"/>
        <v>189.14772087512989</v>
      </c>
      <c r="AA33" s="4">
        <f t="shared" si="9"/>
        <v>231.16728880898265</v>
      </c>
      <c r="AB33" s="4">
        <f t="shared" si="9"/>
        <v>271.77065305433462</v>
      </c>
      <c r="AC33" s="4">
        <f t="shared" si="9"/>
        <v>302.88237679184107</v>
      </c>
      <c r="AD33" s="4">
        <f t="shared" si="9"/>
        <v>353.01882639020721</v>
      </c>
      <c r="AE33" s="30"/>
      <c r="AF33" s="4">
        <f t="shared" si="9"/>
        <v>153.25938567750737</v>
      </c>
      <c r="AG33" s="4">
        <f t="shared" si="9"/>
        <v>181.94771186244259</v>
      </c>
      <c r="AH33" s="4">
        <f t="shared" si="9"/>
        <v>197.13542169568751</v>
      </c>
      <c r="AI33" s="4">
        <f t="shared" si="9"/>
        <v>209.03088570404526</v>
      </c>
      <c r="AJ33" s="4">
        <f t="shared" si="9"/>
        <v>266.12675231046552</v>
      </c>
      <c r="AK33" s="30"/>
      <c r="AL33" s="4">
        <f>AL16/AL7</f>
        <v>0</v>
      </c>
      <c r="AM33" s="4">
        <f>AM16/AM7</f>
        <v>26.881552846065706</v>
      </c>
      <c r="AN33" s="4">
        <f>AN16/AN7</f>
        <v>3.4893155278770465</v>
      </c>
      <c r="AO33" s="4">
        <f>AO16/AO7</f>
        <v>4.7744784214227058</v>
      </c>
      <c r="AP33" s="4">
        <f>AP16/AP7</f>
        <v>0</v>
      </c>
      <c r="AQ33" s="30"/>
      <c r="AW33" s="30"/>
      <c r="BC33" s="30"/>
      <c r="BI33" s="30"/>
    </row>
    <row r="34" spans="1:61" x14ac:dyDescent="0.3">
      <c r="A34" s="42">
        <v>32</v>
      </c>
      <c r="B34" s="2" t="s">
        <v>106</v>
      </c>
      <c r="C34" s="4">
        <f>(C25*1000)/C7</f>
        <v>20.729608457803185</v>
      </c>
      <c r="D34" s="4">
        <f t="shared" ref="D34:AP34" si="10">(D25*1000)/D7</f>
        <v>21.80176637056163</v>
      </c>
      <c r="E34" s="4">
        <f t="shared" si="10"/>
        <v>19.614962352066531</v>
      </c>
      <c r="F34" s="4">
        <f t="shared" si="10"/>
        <v>21.481633361197421</v>
      </c>
      <c r="G34" s="4">
        <f t="shared" si="10"/>
        <v>18.681706027493831</v>
      </c>
      <c r="H34" s="30"/>
      <c r="N34" s="30"/>
      <c r="O34" s="4">
        <f t="shared" si="10"/>
        <v>10.361395445999582</v>
      </c>
      <c r="P34" s="4">
        <f t="shared" si="10"/>
        <v>6.4901960784313726</v>
      </c>
      <c r="Q34" s="4">
        <f t="shared" si="10"/>
        <v>4.4482626956853757</v>
      </c>
      <c r="R34" s="4">
        <f t="shared" si="10"/>
        <v>3.4444237572146714</v>
      </c>
      <c r="S34" s="30"/>
      <c r="T34" s="4">
        <f t="shared" si="10"/>
        <v>7.6989553842327068</v>
      </c>
      <c r="U34" s="4">
        <f t="shared" si="10"/>
        <v>6.6632339905431524</v>
      </c>
      <c r="V34" s="4">
        <f t="shared" si="10"/>
        <v>5.6481153635236208</v>
      </c>
      <c r="W34" s="4">
        <f t="shared" si="10"/>
        <v>5.7704631615065427</v>
      </c>
      <c r="X34" s="4">
        <f t="shared" si="10"/>
        <v>5.4899036660611928</v>
      </c>
      <c r="Z34" s="4">
        <f t="shared" si="10"/>
        <v>19.029203098047475</v>
      </c>
      <c r="AA34" s="4">
        <f t="shared" si="10"/>
        <v>20.667592530608587</v>
      </c>
      <c r="AB34" s="4">
        <f t="shared" si="10"/>
        <v>24.596238289089328</v>
      </c>
      <c r="AC34" s="4">
        <f t="shared" si="10"/>
        <v>25.436910264899954</v>
      </c>
      <c r="AD34" s="4">
        <f t="shared" si="10"/>
        <v>22.646382891371754</v>
      </c>
      <c r="AE34" s="30"/>
      <c r="AF34" s="4">
        <f t="shared" si="10"/>
        <v>0</v>
      </c>
      <c r="AG34" s="4">
        <f t="shared" si="10"/>
        <v>12.95605552495625</v>
      </c>
      <c r="AH34" s="4">
        <f t="shared" si="10"/>
        <v>15.481478222810109</v>
      </c>
      <c r="AI34" s="4">
        <f t="shared" si="10"/>
        <v>14.7791437072693</v>
      </c>
      <c r="AJ34" s="4">
        <f t="shared" si="10"/>
        <v>12.094517039189855</v>
      </c>
      <c r="AK34" s="30"/>
      <c r="AL34" s="4">
        <f t="shared" si="10"/>
        <v>13.331182904073829</v>
      </c>
      <c r="AM34" s="4">
        <f t="shared" si="10"/>
        <v>14.518786285420751</v>
      </c>
      <c r="AN34" s="4">
        <f t="shared" si="10"/>
        <v>11.190887961485474</v>
      </c>
      <c r="AO34" s="4">
        <f t="shared" si="10"/>
        <v>8.4465429746374987</v>
      </c>
      <c r="AP34" s="4">
        <f t="shared" si="10"/>
        <v>6.9349457496406561</v>
      </c>
      <c r="AQ34" s="30"/>
      <c r="AW34" s="30"/>
      <c r="BC34" s="30"/>
      <c r="BI34" s="30"/>
    </row>
    <row r="35" spans="1:61" x14ac:dyDescent="0.3">
      <c r="A35" s="42">
        <v>33</v>
      </c>
      <c r="B35" s="2" t="s">
        <v>52</v>
      </c>
      <c r="C35" s="4">
        <f>(C25*100000)/C11</f>
        <v>281.45945804970921</v>
      </c>
      <c r="D35" s="4">
        <f t="shared" ref="D35:AP35" si="11">(D25*100000)/D11</f>
        <v>289.5138098087279</v>
      </c>
      <c r="E35" s="4">
        <f t="shared" si="11"/>
        <v>206.01726586305708</v>
      </c>
      <c r="F35" s="4">
        <f t="shared" si="11"/>
        <v>316.13103886879867</v>
      </c>
      <c r="G35" s="4">
        <f t="shared" si="11"/>
        <v>226.40123825390202</v>
      </c>
      <c r="H35" s="30"/>
      <c r="I35" s="4">
        <f t="shared" si="11"/>
        <v>0</v>
      </c>
      <c r="J35" s="4">
        <f t="shared" si="11"/>
        <v>0</v>
      </c>
      <c r="K35" s="4">
        <f t="shared" si="11"/>
        <v>0</v>
      </c>
      <c r="L35" s="4">
        <f t="shared" si="11"/>
        <v>0</v>
      </c>
      <c r="M35" s="4">
        <f t="shared" si="11"/>
        <v>0</v>
      </c>
      <c r="N35" s="30"/>
      <c r="O35" s="4">
        <f>(O25*100000)/O11</f>
        <v>153.07570445377465</v>
      </c>
      <c r="P35" s="4">
        <f>(P25*100000)/P11</f>
        <v>89.519265587190532</v>
      </c>
      <c r="Q35" s="4">
        <f t="shared" si="11"/>
        <v>65.988333036149825</v>
      </c>
      <c r="R35" s="4">
        <f t="shared" si="11"/>
        <v>58.714529481596728</v>
      </c>
      <c r="S35" s="30"/>
      <c r="T35" s="4">
        <f t="shared" si="11"/>
        <v>113.23033017676755</v>
      </c>
      <c r="U35" s="4">
        <f t="shared" si="11"/>
        <v>92.387034907162217</v>
      </c>
      <c r="V35" s="4">
        <f t="shared" si="11"/>
        <v>81.912673925423093</v>
      </c>
      <c r="W35" s="4">
        <f t="shared" si="11"/>
        <v>81.167012314971416</v>
      </c>
      <c r="X35" s="4">
        <f t="shared" si="11"/>
        <v>81.567231590658423</v>
      </c>
      <c r="Z35" s="4">
        <f t="shared" si="11"/>
        <v>152.06414217212574</v>
      </c>
      <c r="AA35" s="4">
        <f t="shared" si="11"/>
        <v>169.53604778702012</v>
      </c>
      <c r="AB35" s="4">
        <f t="shared" si="11"/>
        <v>559.56571587795258</v>
      </c>
      <c r="AC35" s="4">
        <f t="shared" si="11"/>
        <v>195.6685404992304</v>
      </c>
      <c r="AD35" s="4">
        <f t="shared" si="11"/>
        <v>174.20294531824428</v>
      </c>
      <c r="AE35" s="30"/>
      <c r="AF35" s="4">
        <f t="shared" si="11"/>
        <v>0</v>
      </c>
      <c r="AG35" s="4">
        <f t="shared" si="11"/>
        <v>156.11108576885698</v>
      </c>
      <c r="AH35" s="4">
        <f t="shared" si="11"/>
        <v>185.77774421456627</v>
      </c>
      <c r="AI35" s="4">
        <f>(AI25*100000)/AI11</f>
        <v>171.17354249092725</v>
      </c>
      <c r="AJ35" s="4">
        <f t="shared" si="11"/>
        <v>139.56797364861538</v>
      </c>
      <c r="AK35" s="30"/>
      <c r="AL35" s="4" t="e">
        <f t="shared" si="11"/>
        <v>#DIV/0!</v>
      </c>
      <c r="AM35" s="4" t="e">
        <f t="shared" si="11"/>
        <v>#DIV/0!</v>
      </c>
      <c r="AN35" s="4" t="e">
        <f t="shared" si="11"/>
        <v>#DIV/0!</v>
      </c>
      <c r="AO35" s="4" t="e">
        <f t="shared" si="11"/>
        <v>#DIV/0!</v>
      </c>
      <c r="AP35" s="4" t="e">
        <f t="shared" si="11"/>
        <v>#DIV/0!</v>
      </c>
      <c r="AQ35" s="30"/>
      <c r="AW35" s="30"/>
      <c r="BC35" s="30"/>
      <c r="BI35" s="30"/>
    </row>
    <row r="36" spans="1:61" x14ac:dyDescent="0.3">
      <c r="A36" s="42">
        <v>34</v>
      </c>
      <c r="B36" s="2" t="s">
        <v>75</v>
      </c>
      <c r="C36" s="4">
        <f>(C25*1000)/C5</f>
        <v>19.453737886479004</v>
      </c>
      <c r="D36" s="4">
        <f t="shared" ref="D36:AI36" si="12">D25*1000/D5</f>
        <v>16.521964493974341</v>
      </c>
      <c r="E36" s="4">
        <f t="shared" si="12"/>
        <v>10.277990424119984</v>
      </c>
      <c r="F36" s="4">
        <f t="shared" si="12"/>
        <v>19.386520532346452</v>
      </c>
      <c r="G36" s="4">
        <f>G25*1000/G5</f>
        <v>18.713423933049363</v>
      </c>
      <c r="H36" s="30"/>
      <c r="N36" s="30"/>
      <c r="O36" s="4">
        <f t="shared" si="12"/>
        <v>30.691416984357897</v>
      </c>
      <c r="P36" s="4">
        <f t="shared" si="12"/>
        <v>20.482673267326732</v>
      </c>
      <c r="Q36" s="4">
        <f t="shared" si="12"/>
        <v>13.227100227926211</v>
      </c>
      <c r="R36" s="4">
        <f t="shared" si="12"/>
        <v>11.212121212121213</v>
      </c>
      <c r="S36" s="30"/>
      <c r="T36" s="4">
        <f t="shared" si="12"/>
        <v>26.410116371466511</v>
      </c>
      <c r="U36" s="4">
        <f t="shared" si="12"/>
        <v>20.220940918585207</v>
      </c>
      <c r="V36" s="4">
        <f t="shared" si="12"/>
        <v>17.728154103686901</v>
      </c>
      <c r="W36" s="4">
        <f t="shared" si="12"/>
        <v>16.93983153931655</v>
      </c>
      <c r="X36" s="4">
        <f t="shared" si="12"/>
        <v>18.206823064077646</v>
      </c>
      <c r="Z36" s="4">
        <f t="shared" si="12"/>
        <v>45.83140043347656</v>
      </c>
      <c r="AA36" s="4">
        <f t="shared" si="12"/>
        <v>42.55544146046897</v>
      </c>
      <c r="AB36" s="4">
        <f t="shared" si="12"/>
        <v>42.528511977217569</v>
      </c>
      <c r="AC36" s="4">
        <f t="shared" si="12"/>
        <v>49.294405913866854</v>
      </c>
      <c r="AD36" s="4">
        <f t="shared" si="12"/>
        <v>37.592554636058516</v>
      </c>
      <c r="AE36" s="30"/>
      <c r="AF36" s="4">
        <f t="shared" si="12"/>
        <v>0</v>
      </c>
      <c r="AG36" s="4">
        <f t="shared" si="12"/>
        <v>27.83486315486747</v>
      </c>
      <c r="AH36" s="4">
        <f t="shared" si="12"/>
        <v>30.571183313726038</v>
      </c>
      <c r="AI36" s="4">
        <f t="shared" si="12"/>
        <v>32.531428108856836</v>
      </c>
      <c r="AJ36" s="4">
        <f>AJ25*1000/AJ5</f>
        <v>29.286303241254881</v>
      </c>
      <c r="AK36" s="30"/>
      <c r="AL36" s="4" t="e">
        <f t="shared" ref="AL36:AP36" si="13">AL25*1000/AL5</f>
        <v>#DIV/0!</v>
      </c>
      <c r="AM36" s="4" t="e">
        <f t="shared" si="13"/>
        <v>#DIV/0!</v>
      </c>
      <c r="AN36" s="4" t="e">
        <f t="shared" si="13"/>
        <v>#DIV/0!</v>
      </c>
      <c r="AO36" s="4" t="e">
        <f t="shared" si="13"/>
        <v>#DIV/0!</v>
      </c>
      <c r="AP36" s="4" t="e">
        <f t="shared" si="13"/>
        <v>#DIV/0!</v>
      </c>
      <c r="AQ36" s="30"/>
      <c r="AW36" s="30"/>
      <c r="BC36" s="30"/>
      <c r="BI36" s="30"/>
    </row>
  </sheetData>
  <mergeCells count="12">
    <mergeCell ref="AR3:AW3"/>
    <mergeCell ref="AX3:BC3"/>
    <mergeCell ref="BD3:BI3"/>
    <mergeCell ref="I3:M3"/>
    <mergeCell ref="O3:R3"/>
    <mergeCell ref="T3:X3"/>
    <mergeCell ref="Z3:AD3"/>
    <mergeCell ref="AL3:AQ3"/>
    <mergeCell ref="A3:A4"/>
    <mergeCell ref="B3:B4"/>
    <mergeCell ref="C3:G3"/>
    <mergeCell ref="AF3:AJ3"/>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62D52-F4E0-4A88-9E4E-954A7A79AA7D}">
  <sheetPr>
    <tabColor rgb="FF7030A0"/>
  </sheetPr>
  <dimension ref="A1:D40"/>
  <sheetViews>
    <sheetView topLeftCell="A26" workbookViewId="0">
      <selection activeCell="C16" sqref="C16"/>
    </sheetView>
  </sheetViews>
  <sheetFormatPr baseColWidth="10" defaultColWidth="10.8984375" defaultRowHeight="14.5" x14ac:dyDescent="0.35"/>
  <cols>
    <col min="1" max="1" width="4.3984375" style="24" customWidth="1"/>
    <col min="2" max="2" width="36.69921875" style="25" customWidth="1"/>
    <col min="3" max="3" width="91.8984375" style="130" customWidth="1"/>
    <col min="4" max="4" width="20.8984375" style="25" bestFit="1" customWidth="1"/>
    <col min="5" max="16384" width="10.8984375" style="25"/>
  </cols>
  <sheetData>
    <row r="1" spans="1:4" ht="34" customHeight="1" x14ac:dyDescent="0.35">
      <c r="A1" s="341" t="s">
        <v>126</v>
      </c>
      <c r="B1" s="341"/>
      <c r="C1" s="341"/>
      <c r="D1" s="341"/>
    </row>
    <row r="2" spans="1:4" ht="15" thickBot="1" x14ac:dyDescent="0.4">
      <c r="A2" s="24" t="s">
        <v>0</v>
      </c>
      <c r="B2" s="127" t="s">
        <v>1</v>
      </c>
      <c r="C2" s="127" t="s">
        <v>44</v>
      </c>
      <c r="D2" s="128" t="s">
        <v>109</v>
      </c>
    </row>
    <row r="3" spans="1:4" x14ac:dyDescent="0.35">
      <c r="A3" s="24">
        <v>1</v>
      </c>
      <c r="B3" s="129" t="s">
        <v>9</v>
      </c>
      <c r="C3" s="130" t="s">
        <v>110</v>
      </c>
      <c r="D3" s="25" t="s">
        <v>154</v>
      </c>
    </row>
    <row r="4" spans="1:4" ht="43.5" x14ac:dyDescent="0.35">
      <c r="A4" s="24">
        <v>2</v>
      </c>
      <c r="B4" s="131" t="s">
        <v>10</v>
      </c>
      <c r="C4" s="130" t="s">
        <v>111</v>
      </c>
      <c r="D4" s="25" t="s">
        <v>154</v>
      </c>
    </row>
    <row r="5" spans="1:4" ht="29" x14ac:dyDescent="0.35">
      <c r="A5" s="24">
        <v>3</v>
      </c>
      <c r="B5" s="131" t="s">
        <v>11</v>
      </c>
      <c r="C5" s="130" t="s">
        <v>112</v>
      </c>
      <c r="D5" s="25" t="s">
        <v>154</v>
      </c>
    </row>
    <row r="6" spans="1:4" ht="43.5" x14ac:dyDescent="0.35">
      <c r="A6" s="24">
        <v>4</v>
      </c>
      <c r="B6" s="132" t="s">
        <v>12</v>
      </c>
      <c r="C6" s="130" t="s">
        <v>207</v>
      </c>
      <c r="D6" s="25" t="s">
        <v>154</v>
      </c>
    </row>
    <row r="7" spans="1:4" ht="43.5" x14ac:dyDescent="0.35">
      <c r="A7" s="24">
        <v>5</v>
      </c>
      <c r="B7" s="132" t="s">
        <v>13</v>
      </c>
      <c r="C7" s="130" t="s">
        <v>113</v>
      </c>
      <c r="D7" s="25" t="s">
        <v>154</v>
      </c>
    </row>
    <row r="8" spans="1:4" ht="29" x14ac:dyDescent="0.35">
      <c r="A8" s="24">
        <v>6</v>
      </c>
      <c r="B8" s="132" t="s">
        <v>14</v>
      </c>
      <c r="C8" s="130" t="s">
        <v>114</v>
      </c>
      <c r="D8" s="25" t="s">
        <v>154</v>
      </c>
    </row>
    <row r="9" spans="1:4" x14ac:dyDescent="0.35">
      <c r="A9" s="24">
        <v>7</v>
      </c>
      <c r="B9" s="286" t="s">
        <v>77</v>
      </c>
      <c r="C9" s="130" t="s">
        <v>133</v>
      </c>
      <c r="D9" s="25" t="s">
        <v>127</v>
      </c>
    </row>
    <row r="10" spans="1:4" x14ac:dyDescent="0.35">
      <c r="A10" s="24">
        <v>8</v>
      </c>
      <c r="B10" s="286" t="s">
        <v>78</v>
      </c>
      <c r="C10" s="130" t="s">
        <v>205</v>
      </c>
      <c r="D10" s="25" t="s">
        <v>127</v>
      </c>
    </row>
    <row r="11" spans="1:4" x14ac:dyDescent="0.35">
      <c r="A11" s="24">
        <v>9</v>
      </c>
      <c r="B11" s="286" t="s">
        <v>79</v>
      </c>
      <c r="C11" s="130" t="s">
        <v>134</v>
      </c>
      <c r="D11" s="25" t="s">
        <v>127</v>
      </c>
    </row>
    <row r="12" spans="1:4" x14ac:dyDescent="0.35">
      <c r="A12" s="24">
        <v>10</v>
      </c>
      <c r="B12" s="131" t="s">
        <v>15</v>
      </c>
      <c r="C12" s="133" t="s">
        <v>115</v>
      </c>
      <c r="D12" s="25" t="s">
        <v>155</v>
      </c>
    </row>
    <row r="13" spans="1:4" ht="29" x14ac:dyDescent="0.35">
      <c r="A13" s="24">
        <v>11</v>
      </c>
      <c r="B13" s="286" t="s">
        <v>16</v>
      </c>
      <c r="C13" s="133" t="s">
        <v>116</v>
      </c>
      <c r="D13" s="25" t="s">
        <v>155</v>
      </c>
    </row>
    <row r="14" spans="1:4" ht="29" x14ac:dyDescent="0.35">
      <c r="A14" s="24">
        <v>12</v>
      </c>
      <c r="B14" s="286" t="s">
        <v>17</v>
      </c>
      <c r="C14" s="133" t="s">
        <v>117</v>
      </c>
      <c r="D14" s="25" t="s">
        <v>155</v>
      </c>
    </row>
    <row r="15" spans="1:4" ht="58" x14ac:dyDescent="0.35">
      <c r="A15" s="24">
        <v>13</v>
      </c>
      <c r="B15" s="286" t="s">
        <v>18</v>
      </c>
      <c r="C15" s="130" t="s">
        <v>208</v>
      </c>
      <c r="D15" s="25" t="s">
        <v>155</v>
      </c>
    </row>
    <row r="16" spans="1:4" ht="116" x14ac:dyDescent="0.35">
      <c r="A16" s="24">
        <v>14</v>
      </c>
      <c r="B16" s="286" t="s">
        <v>19</v>
      </c>
      <c r="C16" s="130" t="s">
        <v>125</v>
      </c>
      <c r="D16" s="25" t="s">
        <v>155</v>
      </c>
    </row>
    <row r="17" spans="1:4" ht="43.5" x14ac:dyDescent="0.35">
      <c r="A17" s="24">
        <v>15</v>
      </c>
      <c r="B17" s="287" t="s">
        <v>20</v>
      </c>
      <c r="C17" s="134" t="s">
        <v>209</v>
      </c>
      <c r="D17" s="25" t="s">
        <v>155</v>
      </c>
    </row>
    <row r="18" spans="1:4" ht="43.5" x14ac:dyDescent="0.35">
      <c r="A18" s="24">
        <v>16</v>
      </c>
      <c r="B18" s="287" t="s">
        <v>21</v>
      </c>
      <c r="C18" s="135" t="s">
        <v>118</v>
      </c>
      <c r="D18" s="25" t="s">
        <v>155</v>
      </c>
    </row>
    <row r="19" spans="1:4" x14ac:dyDescent="0.35">
      <c r="A19" s="24">
        <v>17</v>
      </c>
      <c r="B19" s="287" t="s">
        <v>130</v>
      </c>
      <c r="C19" s="130" t="s">
        <v>201</v>
      </c>
      <c r="D19" s="25" t="s">
        <v>156</v>
      </c>
    </row>
    <row r="20" spans="1:4" x14ac:dyDescent="0.35">
      <c r="A20" s="24">
        <v>18</v>
      </c>
      <c r="B20" s="287" t="s">
        <v>131</v>
      </c>
      <c r="C20" s="130" t="s">
        <v>202</v>
      </c>
      <c r="D20" s="25" t="s">
        <v>156</v>
      </c>
    </row>
    <row r="21" spans="1:4" x14ac:dyDescent="0.35">
      <c r="A21" s="24">
        <v>19</v>
      </c>
      <c r="B21" s="287" t="s">
        <v>132</v>
      </c>
      <c r="C21" s="130" t="s">
        <v>203</v>
      </c>
      <c r="D21" s="25" t="s">
        <v>156</v>
      </c>
    </row>
    <row r="22" spans="1:4" ht="29" x14ac:dyDescent="0.35">
      <c r="A22" s="24">
        <v>20</v>
      </c>
      <c r="B22" s="287" t="s">
        <v>23</v>
      </c>
      <c r="C22" s="130" t="s">
        <v>204</v>
      </c>
      <c r="D22" s="25" t="s">
        <v>156</v>
      </c>
    </row>
    <row r="23" spans="1:4" x14ac:dyDescent="0.35">
      <c r="A23" s="24">
        <v>21</v>
      </c>
      <c r="B23" s="136" t="s">
        <v>24</v>
      </c>
      <c r="C23" s="130" t="s">
        <v>119</v>
      </c>
      <c r="D23" s="25" t="s">
        <v>120</v>
      </c>
    </row>
    <row r="24" spans="1:4" ht="43.5" x14ac:dyDescent="0.35">
      <c r="A24" s="24">
        <v>22</v>
      </c>
      <c r="B24" s="131" t="s">
        <v>25</v>
      </c>
      <c r="C24" s="130" t="s">
        <v>121</v>
      </c>
      <c r="D24" s="25" t="s">
        <v>120</v>
      </c>
    </row>
    <row r="25" spans="1:4" ht="29" x14ac:dyDescent="0.35">
      <c r="A25" s="24">
        <v>23</v>
      </c>
      <c r="B25" s="286" t="s">
        <v>122</v>
      </c>
      <c r="C25" s="137" t="s">
        <v>123</v>
      </c>
      <c r="D25" s="25" t="s">
        <v>120</v>
      </c>
    </row>
    <row r="26" spans="1:4" x14ac:dyDescent="0.35">
      <c r="A26" s="24">
        <v>24</v>
      </c>
      <c r="B26" s="286" t="s">
        <v>26</v>
      </c>
      <c r="C26" s="130" t="s">
        <v>124</v>
      </c>
      <c r="D26" s="25" t="s">
        <v>120</v>
      </c>
    </row>
    <row r="27" spans="1:4" ht="29" x14ac:dyDescent="0.35">
      <c r="A27" s="24">
        <v>25</v>
      </c>
      <c r="B27" s="25" t="s">
        <v>153</v>
      </c>
      <c r="C27" s="130" t="s">
        <v>151</v>
      </c>
      <c r="D27" s="25" t="s">
        <v>206</v>
      </c>
    </row>
    <row r="28" spans="1:4" ht="29" x14ac:dyDescent="0.35">
      <c r="A28" s="24">
        <v>26</v>
      </c>
      <c r="B28" s="25" t="s">
        <v>152</v>
      </c>
      <c r="C28" s="130" t="s">
        <v>129</v>
      </c>
      <c r="D28" s="25" t="s">
        <v>206</v>
      </c>
    </row>
    <row r="29" spans="1:4" ht="29" x14ac:dyDescent="0.35">
      <c r="A29" s="24">
        <v>27</v>
      </c>
      <c r="B29" s="25" t="s">
        <v>128</v>
      </c>
      <c r="C29" s="130" t="s">
        <v>200</v>
      </c>
      <c r="D29" s="25" t="s">
        <v>206</v>
      </c>
    </row>
    <row r="30" spans="1:4" x14ac:dyDescent="0.35">
      <c r="A30" s="24">
        <v>28</v>
      </c>
      <c r="B30" s="25" t="s">
        <v>150</v>
      </c>
      <c r="C30" s="130" t="s">
        <v>139</v>
      </c>
      <c r="D30" s="25" t="s">
        <v>206</v>
      </c>
    </row>
    <row r="31" spans="1:4" x14ac:dyDescent="0.35">
      <c r="A31" s="24">
        <v>29</v>
      </c>
      <c r="B31" s="25" t="s">
        <v>149</v>
      </c>
      <c r="C31" s="130" t="s">
        <v>140</v>
      </c>
      <c r="D31" s="25" t="s">
        <v>206</v>
      </c>
    </row>
    <row r="32" spans="1:4" x14ac:dyDescent="0.35">
      <c r="A32" s="24">
        <v>30</v>
      </c>
      <c r="B32" s="25" t="s">
        <v>148</v>
      </c>
      <c r="C32" s="130" t="s">
        <v>141</v>
      </c>
      <c r="D32" s="25" t="s">
        <v>206</v>
      </c>
    </row>
    <row r="33" spans="1:4" x14ac:dyDescent="0.35">
      <c r="A33" s="24">
        <v>31</v>
      </c>
      <c r="B33" s="25" t="s">
        <v>147</v>
      </c>
      <c r="C33" s="130" t="s">
        <v>142</v>
      </c>
      <c r="D33" s="25" t="s">
        <v>206</v>
      </c>
    </row>
    <row r="34" spans="1:4" x14ac:dyDescent="0.35">
      <c r="A34" s="24">
        <v>32</v>
      </c>
      <c r="B34" s="25" t="s">
        <v>146</v>
      </c>
      <c r="C34" s="130" t="s">
        <v>143</v>
      </c>
      <c r="D34" s="25" t="s">
        <v>206</v>
      </c>
    </row>
    <row r="35" spans="1:4" x14ac:dyDescent="0.35">
      <c r="A35" s="24">
        <v>33</v>
      </c>
      <c r="B35" s="25" t="s">
        <v>145</v>
      </c>
      <c r="C35" s="130" t="s">
        <v>144</v>
      </c>
      <c r="D35" s="25" t="s">
        <v>206</v>
      </c>
    </row>
    <row r="36" spans="1:4" x14ac:dyDescent="0.35">
      <c r="A36" s="24">
        <v>34</v>
      </c>
      <c r="B36" s="139" t="s">
        <v>53</v>
      </c>
      <c r="C36" s="130" t="s">
        <v>54</v>
      </c>
      <c r="D36" s="25" t="s">
        <v>206</v>
      </c>
    </row>
    <row r="37" spans="1:4" x14ac:dyDescent="0.35">
      <c r="A37" s="24">
        <v>35</v>
      </c>
      <c r="B37" s="138" t="s">
        <v>61</v>
      </c>
      <c r="C37" s="130" t="s">
        <v>62</v>
      </c>
      <c r="D37" s="25" t="s">
        <v>206</v>
      </c>
    </row>
    <row r="38" spans="1:4" x14ac:dyDescent="0.35">
      <c r="A38" s="24">
        <v>36</v>
      </c>
      <c r="B38" s="25" t="s">
        <v>135</v>
      </c>
      <c r="C38" s="140" t="s">
        <v>103</v>
      </c>
      <c r="D38" s="25" t="s">
        <v>206</v>
      </c>
    </row>
    <row r="39" spans="1:4" ht="29" x14ac:dyDescent="0.35">
      <c r="A39" s="24">
        <v>37</v>
      </c>
      <c r="B39" s="25" t="s">
        <v>136</v>
      </c>
      <c r="C39" s="140" t="s">
        <v>104</v>
      </c>
      <c r="D39" s="25" t="s">
        <v>206</v>
      </c>
    </row>
    <row r="40" spans="1:4" ht="29" x14ac:dyDescent="0.35">
      <c r="A40" s="24">
        <v>38</v>
      </c>
      <c r="B40" s="25" t="s">
        <v>138</v>
      </c>
      <c r="C40" s="140" t="s">
        <v>137</v>
      </c>
      <c r="D40" s="25" t="s">
        <v>206</v>
      </c>
    </row>
  </sheetData>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963D-2BD5-4E91-8C55-0FF4FD9EE38A}">
  <sheetPr>
    <tabColor rgb="FF9D2F95"/>
  </sheetPr>
  <dimension ref="A1:K117"/>
  <sheetViews>
    <sheetView topLeftCell="A87" workbookViewId="0">
      <selection activeCell="F121" sqref="F121"/>
    </sheetView>
  </sheetViews>
  <sheetFormatPr baseColWidth="10" defaultColWidth="11.09765625" defaultRowHeight="12" x14ac:dyDescent="0.3"/>
  <cols>
    <col min="1" max="1" width="4.3984375" style="2" customWidth="1"/>
    <col min="2" max="2" width="28.296875" style="2" customWidth="1"/>
    <col min="3" max="3" width="19.8984375" style="2" bestFit="1" customWidth="1"/>
    <col min="4" max="4" width="11.3984375" style="2" customWidth="1"/>
    <col min="5" max="5" width="4.8984375" style="2" customWidth="1"/>
    <col min="6" max="6" width="26" style="2" customWidth="1"/>
    <col min="7" max="7" width="14.69921875" style="2" customWidth="1"/>
    <col min="8" max="8" width="11.09765625" style="2"/>
    <col min="9" max="9" width="3.296875" style="2" bestFit="1" customWidth="1"/>
    <col min="10" max="10" width="25.8984375" style="2" customWidth="1"/>
    <col min="11" max="16384" width="11.09765625" style="2"/>
  </cols>
  <sheetData>
    <row r="1" spans="1:11" x14ac:dyDescent="0.3">
      <c r="A1" s="162"/>
      <c r="B1" s="163"/>
      <c r="C1" s="163"/>
    </row>
    <row r="2" spans="1:11" ht="12.5" thickBot="1" x14ac:dyDescent="0.35">
      <c r="A2" s="196" t="s">
        <v>186</v>
      </c>
      <c r="B2" s="197"/>
      <c r="C2" s="198"/>
    </row>
    <row r="3" spans="1:11" ht="12.5" thickBot="1" x14ac:dyDescent="0.35">
      <c r="A3" s="141" t="s">
        <v>68</v>
      </c>
      <c r="B3" s="149" t="s">
        <v>69</v>
      </c>
      <c r="C3" s="182" t="s">
        <v>176</v>
      </c>
    </row>
    <row r="4" spans="1:11" x14ac:dyDescent="0.3">
      <c r="A4" s="142">
        <v>1</v>
      </c>
      <c r="B4" s="143" t="s">
        <v>9</v>
      </c>
      <c r="C4" s="183"/>
    </row>
    <row r="5" spans="1:11" x14ac:dyDescent="0.3">
      <c r="A5" s="142">
        <v>2</v>
      </c>
      <c r="B5" s="144" t="s">
        <v>10</v>
      </c>
      <c r="C5" s="169"/>
    </row>
    <row r="6" spans="1:11" x14ac:dyDescent="0.3">
      <c r="A6" s="142">
        <v>3</v>
      </c>
      <c r="B6" s="144" t="s">
        <v>11</v>
      </c>
      <c r="C6" s="169"/>
    </row>
    <row r="7" spans="1:11" x14ac:dyDescent="0.3">
      <c r="A7" s="142">
        <v>4</v>
      </c>
      <c r="B7" s="145" t="s">
        <v>12</v>
      </c>
      <c r="C7" s="169"/>
    </row>
    <row r="8" spans="1:11" x14ac:dyDescent="0.3">
      <c r="A8" s="142">
        <v>5</v>
      </c>
      <c r="B8" s="145" t="s">
        <v>13</v>
      </c>
      <c r="C8" s="169"/>
    </row>
    <row r="9" spans="1:11" ht="12.5" thickBot="1" x14ac:dyDescent="0.35">
      <c r="A9" s="146">
        <v>6</v>
      </c>
      <c r="B9" s="147" t="s">
        <v>14</v>
      </c>
      <c r="C9" s="171"/>
    </row>
    <row r="10" spans="1:11" x14ac:dyDescent="0.3">
      <c r="B10" s="148"/>
      <c r="C10" s="150"/>
    </row>
    <row r="11" spans="1:11" x14ac:dyDescent="0.3">
      <c r="B11" s="148"/>
      <c r="C11" s="150"/>
    </row>
    <row r="12" spans="1:11" ht="12.5" thickBot="1" x14ac:dyDescent="0.35">
      <c r="A12" s="343" t="s">
        <v>193</v>
      </c>
      <c r="B12" s="343"/>
      <c r="C12" s="343"/>
      <c r="D12" s="343"/>
      <c r="E12" s="343"/>
      <c r="F12" s="343"/>
      <c r="G12" s="343"/>
      <c r="H12" s="343"/>
      <c r="I12" s="343"/>
      <c r="J12" s="343"/>
      <c r="K12" s="343"/>
    </row>
    <row r="13" spans="1:11" ht="12.5" thickBot="1" x14ac:dyDescent="0.35">
      <c r="A13" s="195" t="s">
        <v>68</v>
      </c>
      <c r="B13" s="179" t="s">
        <v>179</v>
      </c>
      <c r="C13" s="179" t="s">
        <v>176</v>
      </c>
      <c r="E13" s="195" t="s">
        <v>68</v>
      </c>
      <c r="F13" s="179" t="s">
        <v>180</v>
      </c>
      <c r="G13" s="179" t="s">
        <v>176</v>
      </c>
      <c r="I13" s="195" t="s">
        <v>68</v>
      </c>
      <c r="J13" s="179" t="s">
        <v>181</v>
      </c>
      <c r="K13" s="179" t="s">
        <v>176</v>
      </c>
    </row>
    <row r="14" spans="1:11" x14ac:dyDescent="0.3">
      <c r="A14" s="142">
        <v>1</v>
      </c>
      <c r="B14" s="143" t="s">
        <v>9</v>
      </c>
      <c r="C14" s="183"/>
      <c r="E14" s="142">
        <v>1</v>
      </c>
      <c r="F14" s="143" t="s">
        <v>9</v>
      </c>
      <c r="G14" s="183"/>
      <c r="I14" s="142">
        <v>1</v>
      </c>
      <c r="J14" s="143" t="s">
        <v>9</v>
      </c>
      <c r="K14" s="183"/>
    </row>
    <row r="15" spans="1:11" x14ac:dyDescent="0.3">
      <c r="A15" s="142">
        <v>2</v>
      </c>
      <c r="B15" s="144" t="s">
        <v>10</v>
      </c>
      <c r="C15" s="169"/>
      <c r="E15" s="142">
        <v>2</v>
      </c>
      <c r="F15" s="144" t="s">
        <v>10</v>
      </c>
      <c r="G15" s="169"/>
      <c r="I15" s="142">
        <v>2</v>
      </c>
      <c r="J15" s="144" t="s">
        <v>10</v>
      </c>
      <c r="K15" s="169"/>
    </row>
    <row r="16" spans="1:11" x14ac:dyDescent="0.3">
      <c r="A16" s="142">
        <v>3</v>
      </c>
      <c r="B16" s="144" t="s">
        <v>11</v>
      </c>
      <c r="C16" s="169"/>
      <c r="E16" s="142">
        <v>3</v>
      </c>
      <c r="F16" s="144" t="s">
        <v>11</v>
      </c>
      <c r="G16" s="169"/>
      <c r="I16" s="142">
        <v>3</v>
      </c>
      <c r="J16" s="144" t="s">
        <v>11</v>
      </c>
      <c r="K16" s="169"/>
    </row>
    <row r="17" spans="1:11" x14ac:dyDescent="0.3">
      <c r="A17" s="142">
        <v>4</v>
      </c>
      <c r="B17" s="145" t="s">
        <v>12</v>
      </c>
      <c r="C17" s="169"/>
      <c r="E17" s="142">
        <v>4</v>
      </c>
      <c r="F17" s="145" t="s">
        <v>12</v>
      </c>
      <c r="G17" s="169"/>
      <c r="I17" s="142">
        <v>4</v>
      </c>
      <c r="J17" s="145" t="s">
        <v>12</v>
      </c>
      <c r="K17" s="169"/>
    </row>
    <row r="18" spans="1:11" x14ac:dyDescent="0.3">
      <c r="A18" s="142">
        <v>5</v>
      </c>
      <c r="B18" s="145" t="s">
        <v>13</v>
      </c>
      <c r="C18" s="169"/>
      <c r="E18" s="142">
        <v>5</v>
      </c>
      <c r="F18" s="145" t="s">
        <v>13</v>
      </c>
      <c r="G18" s="169"/>
      <c r="I18" s="142">
        <v>5</v>
      </c>
      <c r="J18" s="145" t="s">
        <v>13</v>
      </c>
      <c r="K18" s="169"/>
    </row>
    <row r="19" spans="1:11" ht="12.5" thickBot="1" x14ac:dyDescent="0.35">
      <c r="A19" s="146">
        <v>6</v>
      </c>
      <c r="B19" s="147" t="s">
        <v>14</v>
      </c>
      <c r="C19" s="171"/>
      <c r="E19" s="146">
        <v>6</v>
      </c>
      <c r="F19" s="147" t="s">
        <v>14</v>
      </c>
      <c r="G19" s="171"/>
      <c r="I19" s="146">
        <v>6</v>
      </c>
      <c r="J19" s="147" t="s">
        <v>14</v>
      </c>
      <c r="K19" s="171"/>
    </row>
    <row r="20" spans="1:11" x14ac:dyDescent="0.3">
      <c r="B20" s="148"/>
      <c r="C20" s="150"/>
    </row>
    <row r="21" spans="1:11" ht="12.5" thickBot="1" x14ac:dyDescent="0.35">
      <c r="A21" s="196" t="s">
        <v>189</v>
      </c>
      <c r="B21" s="199"/>
      <c r="C21" s="200"/>
    </row>
    <row r="22" spans="1:11" ht="12.5" thickBot="1" x14ac:dyDescent="0.35">
      <c r="A22" s="141" t="s">
        <v>68</v>
      </c>
      <c r="B22" s="149" t="s">
        <v>69</v>
      </c>
      <c r="C22" s="182" t="s">
        <v>176</v>
      </c>
    </row>
    <row r="23" spans="1:11" x14ac:dyDescent="0.3">
      <c r="A23" s="142">
        <v>1</v>
      </c>
      <c r="B23" s="143" t="s">
        <v>9</v>
      </c>
      <c r="C23" s="183"/>
    </row>
    <row r="24" spans="1:11" x14ac:dyDescent="0.3">
      <c r="A24" s="142">
        <v>2</v>
      </c>
      <c r="B24" s="144" t="s">
        <v>10</v>
      </c>
      <c r="C24" s="169"/>
    </row>
    <row r="25" spans="1:11" x14ac:dyDescent="0.3">
      <c r="A25" s="142">
        <v>3</v>
      </c>
      <c r="B25" s="144" t="s">
        <v>11</v>
      </c>
      <c r="C25" s="169"/>
    </row>
    <row r="26" spans="1:11" x14ac:dyDescent="0.3">
      <c r="A26" s="142">
        <v>4</v>
      </c>
      <c r="B26" s="145" t="s">
        <v>12</v>
      </c>
      <c r="C26" s="169"/>
    </row>
    <row r="27" spans="1:11" x14ac:dyDescent="0.3">
      <c r="A27" s="142">
        <v>5</v>
      </c>
      <c r="B27" s="145" t="s">
        <v>13</v>
      </c>
      <c r="C27" s="169"/>
    </row>
    <row r="28" spans="1:11" ht="12.5" thickBot="1" x14ac:dyDescent="0.35">
      <c r="A28" s="146">
        <v>6</v>
      </c>
      <c r="B28" s="147" t="s">
        <v>14</v>
      </c>
      <c r="C28" s="171"/>
    </row>
    <row r="29" spans="1:11" x14ac:dyDescent="0.3">
      <c r="B29" s="148"/>
      <c r="C29" s="150"/>
    </row>
    <row r="30" spans="1:11" ht="12.5" thickBot="1" x14ac:dyDescent="0.35">
      <c r="A30" s="196" t="s">
        <v>188</v>
      </c>
      <c r="B30" s="197"/>
      <c r="C30" s="198"/>
    </row>
    <row r="31" spans="1:11" ht="12.5" thickBot="1" x14ac:dyDescent="0.35">
      <c r="A31" s="141" t="s">
        <v>68</v>
      </c>
      <c r="B31" s="149" t="s">
        <v>69</v>
      </c>
      <c r="C31" s="182" t="s">
        <v>176</v>
      </c>
    </row>
    <row r="32" spans="1:11" x14ac:dyDescent="0.3">
      <c r="A32" s="142">
        <v>1</v>
      </c>
      <c r="B32" s="143" t="s">
        <v>9</v>
      </c>
      <c r="C32" s="183"/>
    </row>
    <row r="33" spans="1:3" x14ac:dyDescent="0.3">
      <c r="A33" s="142">
        <v>2</v>
      </c>
      <c r="B33" s="144" t="s">
        <v>10</v>
      </c>
      <c r="C33" s="169"/>
    </row>
    <row r="34" spans="1:3" x14ac:dyDescent="0.3">
      <c r="A34" s="142">
        <v>3</v>
      </c>
      <c r="B34" s="144" t="s">
        <v>11</v>
      </c>
      <c r="C34" s="169"/>
    </row>
    <row r="35" spans="1:3" x14ac:dyDescent="0.3">
      <c r="A35" s="152" t="s">
        <v>159</v>
      </c>
      <c r="B35" s="159" t="s">
        <v>77</v>
      </c>
      <c r="C35" s="170"/>
    </row>
    <row r="36" spans="1:3" x14ac:dyDescent="0.3">
      <c r="A36" s="152" t="s">
        <v>160</v>
      </c>
      <c r="B36" s="159" t="s">
        <v>78</v>
      </c>
      <c r="C36" s="170"/>
    </row>
    <row r="37" spans="1:3" ht="12.5" thickBot="1" x14ac:dyDescent="0.35">
      <c r="A37" s="153" t="s">
        <v>161</v>
      </c>
      <c r="B37" s="164" t="s">
        <v>79</v>
      </c>
      <c r="C37" s="170"/>
    </row>
    <row r="38" spans="1:3" x14ac:dyDescent="0.3">
      <c r="A38" s="142">
        <v>4</v>
      </c>
      <c r="B38" s="145" t="s">
        <v>12</v>
      </c>
      <c r="C38" s="169"/>
    </row>
    <row r="39" spans="1:3" x14ac:dyDescent="0.3">
      <c r="A39" s="142">
        <v>5</v>
      </c>
      <c r="B39" s="145" t="s">
        <v>13</v>
      </c>
      <c r="C39" s="169"/>
    </row>
    <row r="40" spans="1:3" ht="12.5" thickBot="1" x14ac:dyDescent="0.35">
      <c r="A40" s="146">
        <v>6</v>
      </c>
      <c r="B40" s="147" t="s">
        <v>14</v>
      </c>
      <c r="C40" s="171"/>
    </row>
    <row r="41" spans="1:3" x14ac:dyDescent="0.3">
      <c r="B41" s="148"/>
      <c r="C41" s="151"/>
    </row>
    <row r="43" spans="1:3" ht="12.5" thickBot="1" x14ac:dyDescent="0.35">
      <c r="A43" s="211" t="s">
        <v>185</v>
      </c>
      <c r="B43" s="212"/>
      <c r="C43" s="212"/>
    </row>
    <row r="44" spans="1:3" ht="12.5" thickBot="1" x14ac:dyDescent="0.35">
      <c r="A44" s="165" t="s">
        <v>68</v>
      </c>
      <c r="B44" s="166" t="s">
        <v>69</v>
      </c>
      <c r="C44" s="166" t="s">
        <v>176</v>
      </c>
    </row>
    <row r="45" spans="1:3" x14ac:dyDescent="0.3">
      <c r="A45" s="167">
        <v>1</v>
      </c>
      <c r="B45" s="158" t="s">
        <v>65</v>
      </c>
      <c r="C45" s="180"/>
    </row>
    <row r="46" spans="1:3" x14ac:dyDescent="0.3">
      <c r="A46" s="156">
        <v>2</v>
      </c>
      <c r="B46" s="159" t="s">
        <v>66</v>
      </c>
      <c r="C46" s="169"/>
    </row>
    <row r="47" spans="1:3" x14ac:dyDescent="0.3">
      <c r="A47" s="156">
        <v>3</v>
      </c>
      <c r="B47" s="159" t="s">
        <v>17</v>
      </c>
      <c r="C47" s="169"/>
    </row>
    <row r="48" spans="1:3" x14ac:dyDescent="0.3">
      <c r="A48" s="156">
        <v>4</v>
      </c>
      <c r="B48" s="159" t="s">
        <v>18</v>
      </c>
      <c r="C48" s="169"/>
    </row>
    <row r="49" spans="1:11" x14ac:dyDescent="0.3">
      <c r="A49" s="156">
        <v>5</v>
      </c>
      <c r="B49" s="159" t="s">
        <v>19</v>
      </c>
      <c r="C49" s="169"/>
    </row>
    <row r="50" spans="1:11" x14ac:dyDescent="0.3">
      <c r="A50" s="156">
        <v>6</v>
      </c>
      <c r="B50" s="160" t="s">
        <v>20</v>
      </c>
      <c r="C50" s="169"/>
    </row>
    <row r="51" spans="1:11" ht="12.5" thickBot="1" x14ac:dyDescent="0.35">
      <c r="A51" s="168">
        <v>7</v>
      </c>
      <c r="B51" s="161" t="s">
        <v>21</v>
      </c>
      <c r="C51" s="171"/>
    </row>
    <row r="52" spans="1:11" x14ac:dyDescent="0.3">
      <c r="B52" s="194"/>
      <c r="C52" s="150"/>
    </row>
    <row r="53" spans="1:11" x14ac:dyDescent="0.3">
      <c r="B53" s="194"/>
      <c r="C53" s="150"/>
      <c r="E53" s="174"/>
    </row>
    <row r="54" spans="1:11" ht="12.5" thickBot="1" x14ac:dyDescent="0.35">
      <c r="A54" s="342" t="s">
        <v>182</v>
      </c>
      <c r="B54" s="342"/>
      <c r="C54" s="342"/>
      <c r="D54" s="342"/>
      <c r="E54" s="342"/>
      <c r="F54" s="342"/>
      <c r="G54" s="342"/>
      <c r="H54" s="342"/>
      <c r="I54" s="342"/>
      <c r="J54" s="342"/>
      <c r="K54" s="342"/>
    </row>
    <row r="55" spans="1:11" ht="12.5" thickBot="1" x14ac:dyDescent="0.35">
      <c r="A55" s="195" t="s">
        <v>68</v>
      </c>
      <c r="B55" s="179" t="s">
        <v>179</v>
      </c>
      <c r="C55" s="179" t="s">
        <v>176</v>
      </c>
      <c r="E55" s="195" t="s">
        <v>68</v>
      </c>
      <c r="F55" s="179" t="s">
        <v>180</v>
      </c>
      <c r="G55" s="179" t="s">
        <v>176</v>
      </c>
      <c r="I55" s="195" t="s">
        <v>68</v>
      </c>
      <c r="J55" s="179" t="s">
        <v>181</v>
      </c>
      <c r="K55" s="179" t="s">
        <v>176</v>
      </c>
    </row>
    <row r="56" spans="1:11" x14ac:dyDescent="0.3">
      <c r="A56" s="167">
        <v>1</v>
      </c>
      <c r="B56" s="158" t="s">
        <v>65</v>
      </c>
      <c r="C56" s="180"/>
      <c r="E56" s="167">
        <v>1</v>
      </c>
      <c r="F56" s="158" t="s">
        <v>65</v>
      </c>
      <c r="G56" s="180"/>
      <c r="I56" s="167">
        <v>1</v>
      </c>
      <c r="J56" s="158" t="s">
        <v>65</v>
      </c>
      <c r="K56" s="180"/>
    </row>
    <row r="57" spans="1:11" x14ac:dyDescent="0.3">
      <c r="A57" s="156">
        <v>2</v>
      </c>
      <c r="B57" s="159" t="s">
        <v>66</v>
      </c>
      <c r="C57" s="169"/>
      <c r="E57" s="156">
        <v>2</v>
      </c>
      <c r="F57" s="159" t="s">
        <v>66</v>
      </c>
      <c r="G57" s="169"/>
      <c r="I57" s="156">
        <v>2</v>
      </c>
      <c r="J57" s="159" t="s">
        <v>66</v>
      </c>
      <c r="K57" s="169"/>
    </row>
    <row r="58" spans="1:11" x14ac:dyDescent="0.3">
      <c r="A58" s="156">
        <v>3</v>
      </c>
      <c r="B58" s="159" t="s">
        <v>17</v>
      </c>
      <c r="C58" s="169"/>
      <c r="E58" s="156">
        <v>3</v>
      </c>
      <c r="F58" s="159" t="s">
        <v>17</v>
      </c>
      <c r="G58" s="169"/>
      <c r="I58" s="156">
        <v>3</v>
      </c>
      <c r="J58" s="159" t="s">
        <v>17</v>
      </c>
      <c r="K58" s="169"/>
    </row>
    <row r="59" spans="1:11" x14ac:dyDescent="0.3">
      <c r="A59" s="156">
        <v>4</v>
      </c>
      <c r="B59" s="159" t="s">
        <v>18</v>
      </c>
      <c r="C59" s="169"/>
      <c r="E59" s="156">
        <v>4</v>
      </c>
      <c r="F59" s="159" t="s">
        <v>18</v>
      </c>
      <c r="G59" s="169"/>
      <c r="I59" s="156">
        <v>4</v>
      </c>
      <c r="J59" s="159" t="s">
        <v>18</v>
      </c>
      <c r="K59" s="169"/>
    </row>
    <row r="60" spans="1:11" x14ac:dyDescent="0.3">
      <c r="A60" s="156">
        <v>5</v>
      </c>
      <c r="B60" s="159" t="s">
        <v>19</v>
      </c>
      <c r="C60" s="169"/>
      <c r="E60" s="156">
        <v>5</v>
      </c>
      <c r="F60" s="159" t="s">
        <v>19</v>
      </c>
      <c r="G60" s="169"/>
      <c r="I60" s="156">
        <v>5</v>
      </c>
      <c r="J60" s="159" t="s">
        <v>19</v>
      </c>
      <c r="K60" s="169"/>
    </row>
    <row r="61" spans="1:11" x14ac:dyDescent="0.3">
      <c r="A61" s="156">
        <v>6</v>
      </c>
      <c r="B61" s="160" t="s">
        <v>20</v>
      </c>
      <c r="C61" s="169"/>
      <c r="E61" s="156">
        <v>6</v>
      </c>
      <c r="F61" s="160" t="s">
        <v>20</v>
      </c>
      <c r="G61" s="169"/>
      <c r="I61" s="156">
        <v>6</v>
      </c>
      <c r="J61" s="160" t="s">
        <v>20</v>
      </c>
      <c r="K61" s="169"/>
    </row>
    <row r="62" spans="1:11" ht="12.5" thickBot="1" x14ac:dyDescent="0.35">
      <c r="A62" s="168">
        <v>7</v>
      </c>
      <c r="B62" s="161" t="s">
        <v>21</v>
      </c>
      <c r="C62" s="171"/>
      <c r="E62" s="168">
        <v>7</v>
      </c>
      <c r="F62" s="161" t="s">
        <v>21</v>
      </c>
      <c r="G62" s="171"/>
      <c r="I62" s="168">
        <v>7</v>
      </c>
      <c r="J62" s="161" t="s">
        <v>21</v>
      </c>
      <c r="K62" s="171"/>
    </row>
    <row r="65" spans="1:4" ht="12.5" thickBot="1" x14ac:dyDescent="0.35">
      <c r="A65" s="211" t="s">
        <v>187</v>
      </c>
      <c r="B65" s="212"/>
      <c r="C65" s="212"/>
    </row>
    <row r="66" spans="1:4" ht="12.5" thickBot="1" x14ac:dyDescent="0.35">
      <c r="A66" s="165" t="s">
        <v>68</v>
      </c>
      <c r="B66" s="166" t="s">
        <v>69</v>
      </c>
      <c r="C66" s="166" t="s">
        <v>176</v>
      </c>
      <c r="D66" s="172"/>
    </row>
    <row r="67" spans="1:4" x14ac:dyDescent="0.3">
      <c r="A67" s="167">
        <v>1</v>
      </c>
      <c r="B67" s="158" t="s">
        <v>65</v>
      </c>
      <c r="C67" s="181"/>
    </row>
    <row r="68" spans="1:4" x14ac:dyDescent="0.3">
      <c r="A68" s="156">
        <v>2</v>
      </c>
      <c r="B68" s="159" t="s">
        <v>66</v>
      </c>
      <c r="C68" s="175"/>
    </row>
    <row r="69" spans="1:4" x14ac:dyDescent="0.3">
      <c r="A69" s="156">
        <v>3</v>
      </c>
      <c r="B69" s="159" t="s">
        <v>17</v>
      </c>
      <c r="C69" s="175"/>
    </row>
    <row r="70" spans="1:4" x14ac:dyDescent="0.3">
      <c r="A70" s="156">
        <v>4</v>
      </c>
      <c r="B70" s="159" t="s">
        <v>18</v>
      </c>
      <c r="C70" s="170"/>
    </row>
    <row r="71" spans="1:4" x14ac:dyDescent="0.3">
      <c r="A71" s="156">
        <v>5</v>
      </c>
      <c r="B71" s="159" t="s">
        <v>19</v>
      </c>
      <c r="C71" s="170"/>
    </row>
    <row r="72" spans="1:4" x14ac:dyDescent="0.3">
      <c r="A72" s="156">
        <v>6</v>
      </c>
      <c r="B72" s="160" t="s">
        <v>20</v>
      </c>
      <c r="C72" s="170"/>
    </row>
    <row r="73" spans="1:4" ht="12.5" thickBot="1" x14ac:dyDescent="0.35">
      <c r="A73" s="168">
        <v>7</v>
      </c>
      <c r="B73" s="161" t="s">
        <v>21</v>
      </c>
      <c r="C73" s="185"/>
    </row>
    <row r="75" spans="1:4" ht="12.5" thickBot="1" x14ac:dyDescent="0.35">
      <c r="A75" s="213" t="s">
        <v>183</v>
      </c>
      <c r="B75" s="214"/>
      <c r="C75" s="212"/>
      <c r="D75" s="16"/>
    </row>
    <row r="76" spans="1:4" ht="12.5" thickBot="1" x14ac:dyDescent="0.35">
      <c r="A76" s="165" t="s">
        <v>68</v>
      </c>
      <c r="B76" s="173" t="s">
        <v>69</v>
      </c>
      <c r="C76" s="184" t="s">
        <v>176</v>
      </c>
      <c r="D76" s="16"/>
    </row>
    <row r="77" spans="1:4" x14ac:dyDescent="0.3">
      <c r="A77" s="167">
        <v>1</v>
      </c>
      <c r="B77" s="158" t="s">
        <v>65</v>
      </c>
      <c r="C77" s="186"/>
      <c r="D77" s="16"/>
    </row>
    <row r="78" spans="1:4" x14ac:dyDescent="0.3">
      <c r="A78" s="156">
        <v>2</v>
      </c>
      <c r="B78" s="158" t="s">
        <v>66</v>
      </c>
      <c r="C78" s="175"/>
    </row>
    <row r="79" spans="1:4" x14ac:dyDescent="0.3">
      <c r="A79" s="156">
        <v>3</v>
      </c>
      <c r="B79" s="159" t="s">
        <v>17</v>
      </c>
      <c r="C79" s="175"/>
    </row>
    <row r="80" spans="1:4" x14ac:dyDescent="0.3">
      <c r="A80" s="156">
        <v>4</v>
      </c>
      <c r="B80" s="159" t="s">
        <v>18</v>
      </c>
      <c r="C80" s="170"/>
    </row>
    <row r="81" spans="1:4" x14ac:dyDescent="0.3">
      <c r="A81" s="156">
        <v>5</v>
      </c>
      <c r="B81" s="159" t="s">
        <v>19</v>
      </c>
      <c r="C81" s="170"/>
    </row>
    <row r="82" spans="1:4" x14ac:dyDescent="0.3">
      <c r="A82" s="156">
        <v>6</v>
      </c>
      <c r="B82" s="159" t="s">
        <v>20</v>
      </c>
      <c r="C82" s="170"/>
    </row>
    <row r="83" spans="1:4" ht="12.5" thickBot="1" x14ac:dyDescent="0.35">
      <c r="A83" s="168">
        <v>7</v>
      </c>
      <c r="B83" s="161" t="s">
        <v>21</v>
      </c>
      <c r="C83" s="185"/>
    </row>
    <row r="86" spans="1:4" ht="12.5" thickBot="1" x14ac:dyDescent="0.35">
      <c r="A86" s="215" t="s">
        <v>192</v>
      </c>
      <c r="B86" s="216"/>
      <c r="C86" s="216"/>
    </row>
    <row r="87" spans="1:4" ht="12.5" thickBot="1" x14ac:dyDescent="0.35">
      <c r="A87" s="165" t="s">
        <v>162</v>
      </c>
      <c r="B87" s="176" t="s">
        <v>69</v>
      </c>
      <c r="C87" s="219" t="s">
        <v>176</v>
      </c>
    </row>
    <row r="88" spans="1:4" x14ac:dyDescent="0.3">
      <c r="A88" s="154">
        <v>1</v>
      </c>
      <c r="B88" s="201" t="s">
        <v>190</v>
      </c>
      <c r="C88" s="202"/>
    </row>
    <row r="89" spans="1:4" x14ac:dyDescent="0.3">
      <c r="A89" s="155">
        <v>2</v>
      </c>
      <c r="B89" s="203" t="s">
        <v>25</v>
      </c>
      <c r="C89" s="204"/>
    </row>
    <row r="90" spans="1:4" x14ac:dyDescent="0.3">
      <c r="A90" s="155">
        <v>3</v>
      </c>
      <c r="B90" s="159" t="s">
        <v>122</v>
      </c>
      <c r="C90" s="204"/>
    </row>
    <row r="91" spans="1:4" ht="12.5" thickBot="1" x14ac:dyDescent="0.35">
      <c r="A91" s="157">
        <v>4</v>
      </c>
      <c r="B91" s="177" t="s">
        <v>191</v>
      </c>
      <c r="C91" s="205"/>
    </row>
    <row r="92" spans="1:4" x14ac:dyDescent="0.3">
      <c r="A92" s="1"/>
      <c r="C92" s="78"/>
    </row>
    <row r="94" spans="1:4" ht="12.5" thickBot="1" x14ac:dyDescent="0.35">
      <c r="A94" s="217" t="s">
        <v>184</v>
      </c>
      <c r="B94" s="218"/>
      <c r="C94" s="218"/>
      <c r="D94" s="218"/>
    </row>
    <row r="95" spans="1:4" ht="15" customHeight="1" thickBot="1" x14ac:dyDescent="0.35">
      <c r="A95" s="176" t="s">
        <v>162</v>
      </c>
      <c r="B95" s="354" t="s">
        <v>163</v>
      </c>
      <c r="C95" s="355"/>
      <c r="D95" s="178" t="s">
        <v>176</v>
      </c>
    </row>
    <row r="96" spans="1:4" ht="14.5" customHeight="1" x14ac:dyDescent="0.3">
      <c r="A96" s="347">
        <v>1</v>
      </c>
      <c r="B96" s="356" t="s">
        <v>157</v>
      </c>
      <c r="C96" s="187" t="s">
        <v>164</v>
      </c>
      <c r="D96" s="201"/>
    </row>
    <row r="97" spans="1:4" x14ac:dyDescent="0.3">
      <c r="A97" s="347"/>
      <c r="B97" s="357"/>
      <c r="C97" s="188" t="s">
        <v>165</v>
      </c>
      <c r="D97" s="159"/>
    </row>
    <row r="98" spans="1:4" x14ac:dyDescent="0.3">
      <c r="A98" s="347"/>
      <c r="B98" s="357"/>
      <c r="C98" s="188" t="s">
        <v>171</v>
      </c>
      <c r="D98" s="159"/>
    </row>
    <row r="99" spans="1:4" x14ac:dyDescent="0.3">
      <c r="A99" s="347"/>
      <c r="B99" s="357"/>
      <c r="C99" s="189" t="s">
        <v>166</v>
      </c>
      <c r="D99" s="159"/>
    </row>
    <row r="100" spans="1:4" x14ac:dyDescent="0.3">
      <c r="A100" s="347"/>
      <c r="B100" s="357"/>
      <c r="C100" s="189" t="s">
        <v>167</v>
      </c>
      <c r="D100" s="159"/>
    </row>
    <row r="101" spans="1:4" x14ac:dyDescent="0.3">
      <c r="A101" s="347"/>
      <c r="B101" s="357"/>
      <c r="C101" s="189" t="s">
        <v>168</v>
      </c>
      <c r="D101" s="159"/>
    </row>
    <row r="102" spans="1:4" x14ac:dyDescent="0.3">
      <c r="A102" s="347"/>
      <c r="B102" s="357"/>
      <c r="C102" s="189" t="s">
        <v>169</v>
      </c>
      <c r="D102" s="159"/>
    </row>
    <row r="103" spans="1:4" ht="12.5" thickBot="1" x14ac:dyDescent="0.35">
      <c r="A103" s="348"/>
      <c r="B103" s="358"/>
      <c r="C103" s="190" t="s">
        <v>170</v>
      </c>
      <c r="D103" s="177"/>
    </row>
    <row r="104" spans="1:4" x14ac:dyDescent="0.3">
      <c r="A104" s="347">
        <v>2</v>
      </c>
      <c r="B104" s="359" t="s">
        <v>178</v>
      </c>
      <c r="C104" s="191" t="s">
        <v>171</v>
      </c>
      <c r="D104" s="206"/>
    </row>
    <row r="105" spans="1:4" x14ac:dyDescent="0.3">
      <c r="A105" s="347"/>
      <c r="B105" s="357"/>
      <c r="C105" s="189" t="s">
        <v>172</v>
      </c>
      <c r="D105" s="207"/>
    </row>
    <row r="106" spans="1:4" x14ac:dyDescent="0.3">
      <c r="A106" s="347"/>
      <c r="B106" s="357"/>
      <c r="C106" s="189" t="s">
        <v>173</v>
      </c>
      <c r="D106" s="207"/>
    </row>
    <row r="107" spans="1:4" x14ac:dyDescent="0.3">
      <c r="A107" s="347"/>
      <c r="B107" s="357"/>
      <c r="C107" s="189" t="s">
        <v>166</v>
      </c>
      <c r="D107" s="207"/>
    </row>
    <row r="108" spans="1:4" ht="12.5" thickBot="1" x14ac:dyDescent="0.35">
      <c r="A108" s="348"/>
      <c r="B108" s="358"/>
      <c r="C108" s="190" t="s">
        <v>169</v>
      </c>
      <c r="D108" s="177"/>
    </row>
    <row r="109" spans="1:4" x14ac:dyDescent="0.3">
      <c r="A109" s="347">
        <v>3</v>
      </c>
      <c r="B109" s="359" t="s">
        <v>177</v>
      </c>
      <c r="C109" s="192" t="s">
        <v>171</v>
      </c>
      <c r="D109" s="201"/>
    </row>
    <row r="110" spans="1:4" x14ac:dyDescent="0.3">
      <c r="A110" s="347"/>
      <c r="B110" s="357"/>
      <c r="C110" s="156" t="s">
        <v>172</v>
      </c>
      <c r="D110" s="159"/>
    </row>
    <row r="111" spans="1:4" x14ac:dyDescent="0.3">
      <c r="A111" s="347"/>
      <c r="B111" s="357"/>
      <c r="C111" s="156" t="s">
        <v>173</v>
      </c>
      <c r="D111" s="159"/>
    </row>
    <row r="112" spans="1:4" x14ac:dyDescent="0.3">
      <c r="A112" s="347"/>
      <c r="B112" s="357"/>
      <c r="C112" s="156" t="s">
        <v>166</v>
      </c>
      <c r="D112" s="159"/>
    </row>
    <row r="113" spans="1:4" ht="12.5" thickBot="1" x14ac:dyDescent="0.35">
      <c r="A113" s="348"/>
      <c r="B113" s="358"/>
      <c r="C113" s="168" t="s">
        <v>169</v>
      </c>
      <c r="D113" s="177"/>
    </row>
    <row r="114" spans="1:4" ht="15" customHeight="1" thickBot="1" x14ac:dyDescent="0.35">
      <c r="A114" s="344">
        <v>4</v>
      </c>
      <c r="B114" s="352" t="s">
        <v>23</v>
      </c>
      <c r="C114" s="353"/>
      <c r="D114" s="176" t="s">
        <v>176</v>
      </c>
    </row>
    <row r="115" spans="1:4" ht="14.5" customHeight="1" x14ac:dyDescent="0.3">
      <c r="A115" s="345"/>
      <c r="B115" s="349" t="s">
        <v>174</v>
      </c>
      <c r="C115" s="193" t="s">
        <v>157</v>
      </c>
      <c r="D115" s="208"/>
    </row>
    <row r="116" spans="1:4" ht="14.5" customHeight="1" x14ac:dyDescent="0.3">
      <c r="A116" s="345"/>
      <c r="B116" s="350"/>
      <c r="C116" s="159" t="s">
        <v>175</v>
      </c>
      <c r="D116" s="209"/>
    </row>
    <row r="117" spans="1:4" ht="15" customHeight="1" thickBot="1" x14ac:dyDescent="0.35">
      <c r="A117" s="346"/>
      <c r="B117" s="351"/>
      <c r="C117" s="177" t="s">
        <v>158</v>
      </c>
      <c r="D117" s="210"/>
    </row>
  </sheetData>
  <mergeCells count="12">
    <mergeCell ref="A54:K54"/>
    <mergeCell ref="A12:K12"/>
    <mergeCell ref="A114:A117"/>
    <mergeCell ref="A109:A113"/>
    <mergeCell ref="B115:B117"/>
    <mergeCell ref="B114:C114"/>
    <mergeCell ref="B95:C95"/>
    <mergeCell ref="B96:B103"/>
    <mergeCell ref="B109:B113"/>
    <mergeCell ref="B104:B108"/>
    <mergeCell ref="A96:A103"/>
    <mergeCell ref="A104:A10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Sammenstilling_total</vt:lpstr>
      <vt:lpstr>Sammenstilling_buss</vt:lpstr>
      <vt:lpstr>Sammenstilling_skinnegående</vt:lpstr>
      <vt:lpstr>Sammenstilling_båt&amp;hurtigbåt</vt:lpstr>
      <vt:lpstr>Sammenstilling_ferge</vt:lpstr>
      <vt:lpstr>Vedlegg1_Metadata</vt:lpstr>
      <vt:lpstr>Vedlegg2_datainnhentingskjema</vt:lpstr>
    </vt:vector>
  </TitlesOfParts>
  <Company>Transportokonomisk institutt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Fitwi Wolday</dc:creator>
  <cp:lastModifiedBy>Jørgen Aarhaug</cp:lastModifiedBy>
  <dcterms:created xsi:type="dcterms:W3CDTF">2024-07-02T08:31:27Z</dcterms:created>
  <dcterms:modified xsi:type="dcterms:W3CDTF">2025-09-26T13:40:16Z</dcterms:modified>
</cp:coreProperties>
</file>