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saturn.toi.no\Felles\MO-AVD\5434 Statusrapport kollektivtransport\Rapport 2024\"/>
    </mc:Choice>
  </mc:AlternateContent>
  <xr:revisionPtr revIDLastSave="0" documentId="13_ncr:1_{F4901D8C-A9E4-484A-8BFA-42A6AEE34426}" xr6:coauthVersionLast="47" xr6:coauthVersionMax="47" xr10:uidLastSave="{00000000-0000-0000-0000-000000000000}"/>
  <bookViews>
    <workbookView xWindow="-27210" yWindow="15" windowWidth="20025" windowHeight="14820" tabRatio="883" firstSheet="3" activeTab="7" xr2:uid="{F7EABB36-2E27-4C9F-B72F-73DE77E1BE5B}"/>
  </bookViews>
  <sheets>
    <sheet name="Sammenstilling_total" sheetId="1" r:id="rId1"/>
    <sheet name="Sammenstilling_buss" sheetId="2" r:id="rId2"/>
    <sheet name="Sammenstilling_skinnegående" sheetId="4" r:id="rId3"/>
    <sheet name="Sammenstilling_båt&amp;hurtigbåt" sheetId="6" r:id="rId4"/>
    <sheet name="Sammenstilling_ferge" sheetId="7" r:id="rId5"/>
    <sheet name="FLEXX" sheetId="9" r:id="rId6"/>
    <sheet name="Vedlegg1_Metadata" sheetId="8" r:id="rId7"/>
    <sheet name="Vedlegg2_datainnhentingskjema" sheetId="1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3" i="1" l="1"/>
  <c r="J44" i="1"/>
  <c r="J45" i="1"/>
  <c r="J46" i="1"/>
  <c r="G43" i="1"/>
  <c r="G44" i="1"/>
  <c r="G45" i="1"/>
  <c r="G46" i="1"/>
  <c r="D31" i="1" l="1"/>
  <c r="F31" i="1"/>
  <c r="G31" i="1"/>
  <c r="I31" i="1"/>
  <c r="K31" i="1"/>
  <c r="L31" i="1"/>
  <c r="M31" i="1"/>
  <c r="N31" i="1"/>
  <c r="O31" i="1"/>
  <c r="P31" i="1"/>
  <c r="Q31" i="1"/>
  <c r="R31" i="1"/>
  <c r="S31" i="1"/>
  <c r="T31" i="1"/>
  <c r="V31" i="1"/>
  <c r="W31" i="1"/>
  <c r="X31" i="1"/>
  <c r="Y31" i="1"/>
  <c r="Z31" i="1"/>
  <c r="AA31" i="1"/>
  <c r="AB31" i="1"/>
  <c r="AC31" i="1"/>
  <c r="AD31" i="1"/>
  <c r="AE31" i="1"/>
  <c r="AF31" i="1"/>
  <c r="AG31" i="1"/>
  <c r="AH31" i="1"/>
  <c r="AI31" i="1"/>
  <c r="AJ31" i="1"/>
  <c r="AK31" i="1"/>
  <c r="AL31" i="1"/>
  <c r="AM31" i="1"/>
  <c r="AN31" i="1"/>
  <c r="AO31" i="1"/>
  <c r="AP31" i="1"/>
  <c r="AQ31" i="1"/>
  <c r="AR31" i="1"/>
  <c r="AS31" i="1"/>
  <c r="AT31" i="1"/>
  <c r="AU31" i="1"/>
  <c r="AV31" i="1"/>
  <c r="AW31" i="1"/>
  <c r="AX31" i="1"/>
  <c r="AY31" i="1"/>
  <c r="AZ31" i="1"/>
  <c r="BA31" i="1"/>
  <c r="BB31" i="1"/>
  <c r="BC31" i="1"/>
  <c r="BD31" i="1"/>
  <c r="BE31" i="1"/>
  <c r="BF31" i="1"/>
  <c r="BG31" i="1"/>
  <c r="BH31" i="1"/>
  <c r="BI31" i="1"/>
  <c r="BJ31" i="1"/>
  <c r="BK31" i="1"/>
  <c r="BL31" i="1"/>
  <c r="BM31" i="1"/>
  <c r="BN31" i="1"/>
  <c r="BO31" i="1"/>
  <c r="D32" i="1"/>
  <c r="F32" i="1"/>
  <c r="G32" i="1"/>
  <c r="I32" i="1"/>
  <c r="K32" i="1"/>
  <c r="M32" i="1"/>
  <c r="O32" i="1"/>
  <c r="P32" i="1"/>
  <c r="R32" i="1"/>
  <c r="R35" i="1" s="1"/>
  <c r="S32" i="1"/>
  <c r="T32" i="1"/>
  <c r="V32" i="1"/>
  <c r="W32" i="1"/>
  <c r="X32" i="1"/>
  <c r="X44" i="1" s="1"/>
  <c r="AB32" i="1"/>
  <c r="AC32" i="1"/>
  <c r="AC35" i="1" s="1"/>
  <c r="AE32" i="1"/>
  <c r="AF32" i="1"/>
  <c r="AG32" i="1"/>
  <c r="AG44" i="1" s="1"/>
  <c r="AH32" i="1"/>
  <c r="AI32" i="1"/>
  <c r="AJ32" i="1"/>
  <c r="AJ44" i="1" s="1"/>
  <c r="AK32" i="1"/>
  <c r="AK44" i="1" s="1"/>
  <c r="AL32" i="1"/>
  <c r="AL35" i="1" s="1"/>
  <c r="AM32" i="1"/>
  <c r="AM35" i="1" s="1"/>
  <c r="AO32" i="1"/>
  <c r="AO35" i="1" s="1"/>
  <c r="AP32" i="1"/>
  <c r="AP35" i="1" s="1"/>
  <c r="AR32" i="1"/>
  <c r="AS32" i="1"/>
  <c r="AS44" i="1" s="1"/>
  <c r="AT32" i="1"/>
  <c r="AU32" i="1"/>
  <c r="AV32" i="1"/>
  <c r="AV44" i="1" s="1"/>
  <c r="AW32" i="1"/>
  <c r="AW44" i="1" s="1"/>
  <c r="AX32" i="1"/>
  <c r="AX35" i="1" s="1"/>
  <c r="AY32" i="1"/>
  <c r="AY35" i="1" s="1"/>
  <c r="AZ32" i="1"/>
  <c r="AZ35" i="1" s="1"/>
  <c r="BB32" i="1"/>
  <c r="BB35" i="1" s="1"/>
  <c r="BC32" i="1"/>
  <c r="BC35" i="1" s="1"/>
  <c r="BE32" i="1"/>
  <c r="BE44" i="1" s="1"/>
  <c r="BF32" i="1"/>
  <c r="BG32" i="1"/>
  <c r="BH32" i="1"/>
  <c r="BH44" i="1" s="1"/>
  <c r="BI32" i="1"/>
  <c r="BI44" i="1" s="1"/>
  <c r="BJ32" i="1"/>
  <c r="BJ35" i="1" s="1"/>
  <c r="BK32" i="1"/>
  <c r="BK35" i="1" s="1"/>
  <c r="BL32" i="1"/>
  <c r="BL35" i="1" s="1"/>
  <c r="BM32" i="1"/>
  <c r="BM35" i="1" s="1"/>
  <c r="BO32" i="1"/>
  <c r="BO35" i="1" s="1"/>
  <c r="D33" i="1"/>
  <c r="F33" i="1"/>
  <c r="I33" i="1"/>
  <c r="K33" i="1"/>
  <c r="O33" i="1"/>
  <c r="S33" i="1"/>
  <c r="V33" i="1"/>
  <c r="W33" i="1"/>
  <c r="X33" i="1"/>
  <c r="AB33" i="1"/>
  <c r="AF33" i="1"/>
  <c r="AI33" i="1"/>
  <c r="AJ33" i="1"/>
  <c r="AK33" i="1"/>
  <c r="AL33" i="1"/>
  <c r="AO33" i="1"/>
  <c r="AS33" i="1"/>
  <c r="AV33" i="1"/>
  <c r="AW33" i="1"/>
  <c r="AX33" i="1"/>
  <c r="BB33" i="1"/>
  <c r="BF33" i="1"/>
  <c r="BI33" i="1"/>
  <c r="BJ33" i="1"/>
  <c r="BK33" i="1"/>
  <c r="BO33" i="1"/>
  <c r="D34" i="1"/>
  <c r="F34" i="1"/>
  <c r="I34" i="1"/>
  <c r="K34" i="1"/>
  <c r="M34" i="1"/>
  <c r="O34" i="1"/>
  <c r="P34" i="1"/>
  <c r="R34" i="1"/>
  <c r="S34" i="1"/>
  <c r="T34" i="1"/>
  <c r="V34" i="1"/>
  <c r="W34" i="1"/>
  <c r="X34" i="1"/>
  <c r="AB34" i="1"/>
  <c r="AC34" i="1"/>
  <c r="AE34" i="1"/>
  <c r="AF34" i="1"/>
  <c r="AG34" i="1"/>
  <c r="AH34" i="1"/>
  <c r="AI34" i="1"/>
  <c r="AJ34" i="1"/>
  <c r="AK34" i="1"/>
  <c r="AL34" i="1"/>
  <c r="AM34" i="1"/>
  <c r="AO34" i="1"/>
  <c r="AP34" i="1"/>
  <c r="AR34" i="1"/>
  <c r="AS34" i="1"/>
  <c r="AT34" i="1"/>
  <c r="AU34" i="1"/>
  <c r="AV34" i="1"/>
  <c r="AW34" i="1"/>
  <c r="AX34" i="1"/>
  <c r="AY34" i="1"/>
  <c r="AZ34" i="1"/>
  <c r="BB34" i="1"/>
  <c r="BC34" i="1"/>
  <c r="BE34" i="1"/>
  <c r="BF34" i="1"/>
  <c r="BG34" i="1"/>
  <c r="BH34" i="1"/>
  <c r="BI34" i="1"/>
  <c r="BJ34" i="1"/>
  <c r="BK34" i="1"/>
  <c r="BL34" i="1"/>
  <c r="BM34" i="1"/>
  <c r="BO34" i="1"/>
  <c r="D35" i="1"/>
  <c r="F35" i="1"/>
  <c r="I35" i="1"/>
  <c r="K35" i="1"/>
  <c r="M35" i="1"/>
  <c r="O35" i="1"/>
  <c r="P35" i="1"/>
  <c r="S35" i="1"/>
  <c r="T35" i="1"/>
  <c r="V35" i="1"/>
  <c r="W35" i="1"/>
  <c r="X35" i="1"/>
  <c r="AB35" i="1"/>
  <c r="AE35" i="1"/>
  <c r="AF35" i="1"/>
  <c r="AG35" i="1"/>
  <c r="AH35" i="1"/>
  <c r="AI35" i="1"/>
  <c r="AJ35" i="1"/>
  <c r="AK35" i="1"/>
  <c r="AR35" i="1"/>
  <c r="AS35" i="1"/>
  <c r="AT35" i="1"/>
  <c r="AU35" i="1"/>
  <c r="AV35" i="1"/>
  <c r="AW35" i="1"/>
  <c r="BE35" i="1"/>
  <c r="BF35" i="1"/>
  <c r="BG35" i="1"/>
  <c r="BH35" i="1"/>
  <c r="BI35" i="1"/>
  <c r="D36" i="1"/>
  <c r="E36" i="1"/>
  <c r="F36" i="1"/>
  <c r="H36" i="1"/>
  <c r="I36" i="1"/>
  <c r="K36" i="1"/>
  <c r="L36" i="1"/>
  <c r="M36" i="1"/>
  <c r="N36" i="1"/>
  <c r="O36" i="1"/>
  <c r="P36" i="1"/>
  <c r="Q36" i="1"/>
  <c r="R36" i="1"/>
  <c r="S36" i="1"/>
  <c r="T36" i="1"/>
  <c r="U36" i="1"/>
  <c r="V36" i="1"/>
  <c r="W36" i="1"/>
  <c r="X36" i="1"/>
  <c r="Y36" i="1"/>
  <c r="Z36" i="1"/>
  <c r="AA36" i="1"/>
  <c r="AB36" i="1"/>
  <c r="AC36" i="1"/>
  <c r="AD36" i="1"/>
  <c r="AE36" i="1"/>
  <c r="AF36" i="1"/>
  <c r="AG36" i="1"/>
  <c r="AH36" i="1"/>
  <c r="AI36" i="1"/>
  <c r="AJ36" i="1"/>
  <c r="AK36" i="1"/>
  <c r="AL36" i="1"/>
  <c r="AM36" i="1"/>
  <c r="AN36" i="1"/>
  <c r="AO36" i="1"/>
  <c r="AP36" i="1"/>
  <c r="AQ36" i="1"/>
  <c r="AR36" i="1"/>
  <c r="AS36" i="1"/>
  <c r="AT36" i="1"/>
  <c r="AU36" i="1"/>
  <c r="AV36" i="1"/>
  <c r="AW36" i="1"/>
  <c r="AX36" i="1"/>
  <c r="AY36" i="1"/>
  <c r="AZ36" i="1"/>
  <c r="BA36" i="1"/>
  <c r="BB36" i="1"/>
  <c r="BC36" i="1"/>
  <c r="BD36" i="1"/>
  <c r="BE36" i="1"/>
  <c r="BF36" i="1"/>
  <c r="BG36" i="1"/>
  <c r="BH36" i="1"/>
  <c r="BI36" i="1"/>
  <c r="BJ36" i="1"/>
  <c r="BK36" i="1"/>
  <c r="BL36" i="1"/>
  <c r="BM36" i="1"/>
  <c r="BN36" i="1"/>
  <c r="BO36" i="1"/>
  <c r="D37" i="1"/>
  <c r="F37" i="1"/>
  <c r="I37" i="1"/>
  <c r="K37" i="1"/>
  <c r="L37" i="1"/>
  <c r="M37" i="1"/>
  <c r="N37" i="1"/>
  <c r="O37" i="1"/>
  <c r="P37" i="1"/>
  <c r="Q37" i="1"/>
  <c r="R37" i="1"/>
  <c r="S37" i="1"/>
  <c r="T37" i="1"/>
  <c r="V37" i="1"/>
  <c r="W37" i="1"/>
  <c r="X37" i="1"/>
  <c r="Y37" i="1"/>
  <c r="Z37" i="1"/>
  <c r="AA37" i="1"/>
  <c r="AB37" i="1"/>
  <c r="AC37" i="1"/>
  <c r="AD37" i="1"/>
  <c r="AE37" i="1"/>
  <c r="AF37" i="1"/>
  <c r="AG37" i="1"/>
  <c r="AH37" i="1"/>
  <c r="AI37" i="1"/>
  <c r="AJ37" i="1"/>
  <c r="AK37" i="1"/>
  <c r="AL37" i="1"/>
  <c r="AM37" i="1"/>
  <c r="AN37" i="1"/>
  <c r="AO37" i="1"/>
  <c r="AP37" i="1"/>
  <c r="AQ37" i="1"/>
  <c r="AR37" i="1"/>
  <c r="AS37" i="1"/>
  <c r="AT37" i="1"/>
  <c r="AU37" i="1"/>
  <c r="AV37" i="1"/>
  <c r="AW37" i="1"/>
  <c r="AX37" i="1"/>
  <c r="AY37" i="1"/>
  <c r="AZ37" i="1"/>
  <c r="BA37" i="1"/>
  <c r="BB37" i="1"/>
  <c r="BC37" i="1"/>
  <c r="BD37" i="1"/>
  <c r="BE37" i="1"/>
  <c r="BF37" i="1"/>
  <c r="BG37" i="1"/>
  <c r="BH37" i="1"/>
  <c r="BI37" i="1"/>
  <c r="BJ37" i="1"/>
  <c r="BK37" i="1"/>
  <c r="BL37" i="1"/>
  <c r="BM37" i="1"/>
  <c r="BN37" i="1"/>
  <c r="BO37" i="1"/>
  <c r="D38" i="1"/>
  <c r="E38" i="1"/>
  <c r="F38" i="1"/>
  <c r="I38" i="1"/>
  <c r="K38" i="1"/>
  <c r="M38" i="1"/>
  <c r="O38" i="1"/>
  <c r="P38" i="1"/>
  <c r="R38" i="1"/>
  <c r="T38" i="1"/>
  <c r="V38" i="1"/>
  <c r="W38" i="1"/>
  <c r="X38" i="1"/>
  <c r="AB38" i="1"/>
  <c r="AC38" i="1"/>
  <c r="AE38" i="1"/>
  <c r="AF38" i="1"/>
  <c r="AG38" i="1"/>
  <c r="AH38" i="1"/>
  <c r="AI38" i="1"/>
  <c r="AJ38" i="1"/>
  <c r="AK38" i="1"/>
  <c r="AL38" i="1"/>
  <c r="AM38" i="1"/>
  <c r="AO38" i="1"/>
  <c r="AP38" i="1"/>
  <c r="AR38" i="1"/>
  <c r="AS38" i="1"/>
  <c r="AT38" i="1"/>
  <c r="AU38" i="1"/>
  <c r="AV38" i="1"/>
  <c r="AW38" i="1"/>
  <c r="AX38" i="1"/>
  <c r="AY38" i="1"/>
  <c r="AZ38" i="1"/>
  <c r="BB38" i="1"/>
  <c r="BC38" i="1"/>
  <c r="BE38" i="1"/>
  <c r="BF38" i="1"/>
  <c r="BG38" i="1"/>
  <c r="BH38" i="1"/>
  <c r="BI38" i="1"/>
  <c r="BJ38" i="1"/>
  <c r="BK38" i="1"/>
  <c r="BL38" i="1"/>
  <c r="BM38" i="1"/>
  <c r="BO38" i="1"/>
  <c r="D39" i="1"/>
  <c r="F39" i="1"/>
  <c r="H39" i="1"/>
  <c r="I39" i="1"/>
  <c r="K39" i="1"/>
  <c r="L39" i="1"/>
  <c r="M39" i="1"/>
  <c r="N39" i="1"/>
  <c r="O39" i="1"/>
  <c r="P39" i="1"/>
  <c r="Q39" i="1"/>
  <c r="R39" i="1"/>
  <c r="T39" i="1"/>
  <c r="U39" i="1"/>
  <c r="V39" i="1"/>
  <c r="W39" i="1"/>
  <c r="X39" i="1"/>
  <c r="Y39" i="1"/>
  <c r="Z39" i="1"/>
  <c r="AA39" i="1"/>
  <c r="AB39" i="1"/>
  <c r="AC39" i="1"/>
  <c r="AD39" i="1"/>
  <c r="AE39" i="1"/>
  <c r="AF39" i="1"/>
  <c r="AG39" i="1"/>
  <c r="AH39" i="1"/>
  <c r="AI39" i="1"/>
  <c r="AJ39" i="1"/>
  <c r="AK39" i="1"/>
  <c r="AL39" i="1"/>
  <c r="AM39" i="1"/>
  <c r="AN39" i="1"/>
  <c r="AO39" i="1"/>
  <c r="AP39" i="1"/>
  <c r="AQ39" i="1"/>
  <c r="AR39" i="1"/>
  <c r="AS39" i="1"/>
  <c r="AT39" i="1"/>
  <c r="AU39" i="1"/>
  <c r="AV39" i="1"/>
  <c r="AW39" i="1"/>
  <c r="AX39" i="1"/>
  <c r="AY39" i="1"/>
  <c r="AZ39" i="1"/>
  <c r="BA39" i="1"/>
  <c r="BB39" i="1"/>
  <c r="BC39" i="1"/>
  <c r="BD39" i="1"/>
  <c r="BE39" i="1"/>
  <c r="BF39" i="1"/>
  <c r="BG39" i="1"/>
  <c r="BH39" i="1"/>
  <c r="BI39" i="1"/>
  <c r="BJ39" i="1"/>
  <c r="BK39" i="1"/>
  <c r="BL39" i="1"/>
  <c r="BM39" i="1"/>
  <c r="BN39" i="1"/>
  <c r="BO39" i="1"/>
  <c r="D40" i="1"/>
  <c r="F40" i="1"/>
  <c r="I40" i="1"/>
  <c r="K40" i="1"/>
  <c r="N40" i="1"/>
  <c r="O40" i="1"/>
  <c r="Q40" i="1"/>
  <c r="V40" i="1"/>
  <c r="W40" i="1"/>
  <c r="X40" i="1"/>
  <c r="AA40" i="1"/>
  <c r="AB40" i="1"/>
  <c r="AD40" i="1"/>
  <c r="AF40" i="1"/>
  <c r="AI40" i="1"/>
  <c r="AJ40" i="1"/>
  <c r="AK40" i="1"/>
  <c r="AL40" i="1"/>
  <c r="AN40" i="1"/>
  <c r="AO40" i="1"/>
  <c r="AQ40" i="1"/>
  <c r="AS40" i="1"/>
  <c r="AV40" i="1"/>
  <c r="AW40" i="1"/>
  <c r="AX40" i="1"/>
  <c r="BA40" i="1"/>
  <c r="BB40" i="1"/>
  <c r="BD40" i="1"/>
  <c r="BF40" i="1"/>
  <c r="BI40" i="1"/>
  <c r="BJ40" i="1"/>
  <c r="BK40" i="1"/>
  <c r="BN40" i="1"/>
  <c r="BO40" i="1"/>
  <c r="D41" i="1"/>
  <c r="E41" i="1"/>
  <c r="F41" i="1"/>
  <c r="H41" i="1"/>
  <c r="I41" i="1"/>
  <c r="K41" i="1"/>
  <c r="L41" i="1"/>
  <c r="M41" i="1"/>
  <c r="N41" i="1"/>
  <c r="O41" i="1"/>
  <c r="P41" i="1"/>
  <c r="Q41" i="1"/>
  <c r="R41" i="1"/>
  <c r="T41" i="1"/>
  <c r="U41" i="1"/>
  <c r="V41" i="1"/>
  <c r="W41" i="1"/>
  <c r="X41" i="1"/>
  <c r="Y41" i="1"/>
  <c r="Z41" i="1"/>
  <c r="AA41" i="1"/>
  <c r="AB41" i="1"/>
  <c r="AC41" i="1"/>
  <c r="AD41" i="1"/>
  <c r="AE41" i="1"/>
  <c r="AF41" i="1"/>
  <c r="AG41" i="1"/>
  <c r="AH41" i="1"/>
  <c r="AI41" i="1"/>
  <c r="AJ41" i="1"/>
  <c r="AK41" i="1"/>
  <c r="AL41" i="1"/>
  <c r="AM41" i="1"/>
  <c r="AN41" i="1"/>
  <c r="AO41" i="1"/>
  <c r="AP41" i="1"/>
  <c r="AQ41" i="1"/>
  <c r="AR41" i="1"/>
  <c r="AS41" i="1"/>
  <c r="AT41" i="1"/>
  <c r="AU41" i="1"/>
  <c r="AV41" i="1"/>
  <c r="AW41" i="1"/>
  <c r="AX41" i="1"/>
  <c r="AY41" i="1"/>
  <c r="AZ41" i="1"/>
  <c r="BA41" i="1"/>
  <c r="BB41" i="1"/>
  <c r="BC41" i="1"/>
  <c r="BD41" i="1"/>
  <c r="BE41" i="1"/>
  <c r="BF41" i="1"/>
  <c r="BG41" i="1"/>
  <c r="BH41" i="1"/>
  <c r="BI41" i="1"/>
  <c r="BJ41" i="1"/>
  <c r="BK41" i="1"/>
  <c r="BL41" i="1"/>
  <c r="BM41" i="1"/>
  <c r="BN41" i="1"/>
  <c r="BO41" i="1"/>
  <c r="D42" i="1"/>
  <c r="F42" i="1"/>
  <c r="I42" i="1"/>
  <c r="K42" i="1"/>
  <c r="L42" i="1"/>
  <c r="M42" i="1"/>
  <c r="N42" i="1"/>
  <c r="O42" i="1"/>
  <c r="P42" i="1"/>
  <c r="Q42" i="1"/>
  <c r="R42" i="1"/>
  <c r="S42" i="1"/>
  <c r="T42" i="1"/>
  <c r="V42" i="1"/>
  <c r="W42" i="1"/>
  <c r="X42" i="1"/>
  <c r="Y42" i="1"/>
  <c r="Z42" i="1"/>
  <c r="AA42" i="1"/>
  <c r="AB42" i="1"/>
  <c r="AC42" i="1"/>
  <c r="AD42" i="1"/>
  <c r="AE42" i="1"/>
  <c r="AF42" i="1"/>
  <c r="AG42" i="1"/>
  <c r="AH42" i="1"/>
  <c r="AI42" i="1"/>
  <c r="AJ42" i="1"/>
  <c r="AK42" i="1"/>
  <c r="AL42" i="1"/>
  <c r="AM42" i="1"/>
  <c r="AN42" i="1"/>
  <c r="AO42" i="1"/>
  <c r="AP42" i="1"/>
  <c r="AQ42" i="1"/>
  <c r="AR42" i="1"/>
  <c r="AS42" i="1"/>
  <c r="AT42" i="1"/>
  <c r="AU42" i="1"/>
  <c r="AV42" i="1"/>
  <c r="AW42" i="1"/>
  <c r="AX42" i="1"/>
  <c r="AY42" i="1"/>
  <c r="AZ42" i="1"/>
  <c r="BA42" i="1"/>
  <c r="BB42" i="1"/>
  <c r="BC42" i="1"/>
  <c r="BD42" i="1"/>
  <c r="BE42" i="1"/>
  <c r="BF42" i="1"/>
  <c r="BG42" i="1"/>
  <c r="BH42" i="1"/>
  <c r="BI42" i="1"/>
  <c r="BJ42" i="1"/>
  <c r="BK42" i="1"/>
  <c r="BL42" i="1"/>
  <c r="BM42" i="1"/>
  <c r="BN42" i="1"/>
  <c r="BO42" i="1"/>
  <c r="D43" i="1"/>
  <c r="F43" i="1"/>
  <c r="I43" i="1"/>
  <c r="K43" i="1"/>
  <c r="N43" i="1"/>
  <c r="O43" i="1"/>
  <c r="Q43" i="1"/>
  <c r="S43" i="1"/>
  <c r="V43" i="1"/>
  <c r="W43" i="1"/>
  <c r="X43" i="1"/>
  <c r="AA43" i="1"/>
  <c r="AB43" i="1"/>
  <c r="AD43" i="1"/>
  <c r="AF43" i="1"/>
  <c r="AI43" i="1"/>
  <c r="AJ43" i="1"/>
  <c r="AK43" i="1"/>
  <c r="AL43" i="1"/>
  <c r="AN43" i="1"/>
  <c r="AO43" i="1"/>
  <c r="AQ43" i="1"/>
  <c r="AS43" i="1"/>
  <c r="AV43" i="1"/>
  <c r="AW43" i="1"/>
  <c r="AX43" i="1"/>
  <c r="BA43" i="1"/>
  <c r="BB43" i="1"/>
  <c r="BD43" i="1"/>
  <c r="BF43" i="1"/>
  <c r="BI43" i="1"/>
  <c r="BJ43" i="1"/>
  <c r="BK43" i="1"/>
  <c r="BN43" i="1"/>
  <c r="BO43" i="1"/>
  <c r="D44" i="1"/>
  <c r="F44" i="1"/>
  <c r="I44" i="1"/>
  <c r="K44" i="1"/>
  <c r="M44" i="1"/>
  <c r="O44" i="1"/>
  <c r="P44" i="1"/>
  <c r="S44" i="1"/>
  <c r="T44" i="1"/>
  <c r="V44" i="1"/>
  <c r="W44" i="1"/>
  <c r="AB44" i="1"/>
  <c r="AE44" i="1"/>
  <c r="AF44" i="1"/>
  <c r="AH44" i="1"/>
  <c r="AI44" i="1"/>
  <c r="AP44" i="1"/>
  <c r="AR44" i="1"/>
  <c r="AT44" i="1"/>
  <c r="AU44" i="1"/>
  <c r="AX44" i="1"/>
  <c r="AY44" i="1"/>
  <c r="AZ44" i="1"/>
  <c r="BC44" i="1"/>
  <c r="BF44" i="1"/>
  <c r="BG44" i="1"/>
  <c r="BJ44" i="1"/>
  <c r="BK44" i="1"/>
  <c r="BL44" i="1"/>
  <c r="BM44" i="1"/>
  <c r="BO44" i="1"/>
  <c r="D45" i="1"/>
  <c r="E45" i="1"/>
  <c r="F45" i="1"/>
  <c r="I45" i="1"/>
  <c r="K45" i="1"/>
  <c r="M45" i="1"/>
  <c r="O45" i="1"/>
  <c r="P45" i="1"/>
  <c r="R45" i="1"/>
  <c r="S45" i="1"/>
  <c r="T45" i="1"/>
  <c r="V45" i="1"/>
  <c r="W45" i="1"/>
  <c r="X45" i="1"/>
  <c r="AB45" i="1"/>
  <c r="AC45" i="1"/>
  <c r="AE45" i="1"/>
  <c r="AF45" i="1"/>
  <c r="AG45" i="1"/>
  <c r="AH45" i="1"/>
  <c r="AI45" i="1"/>
  <c r="AJ45" i="1"/>
  <c r="AK45" i="1"/>
  <c r="AL45" i="1"/>
  <c r="AM45" i="1"/>
  <c r="AO45" i="1"/>
  <c r="AP45" i="1"/>
  <c r="AR45" i="1"/>
  <c r="AS45" i="1"/>
  <c r="AT45" i="1"/>
  <c r="AU45" i="1"/>
  <c r="AV45" i="1"/>
  <c r="AW45" i="1"/>
  <c r="AX45" i="1"/>
  <c r="AY45" i="1"/>
  <c r="AZ45" i="1"/>
  <c r="BB45" i="1"/>
  <c r="BC45" i="1"/>
  <c r="BE45" i="1"/>
  <c r="BF45" i="1"/>
  <c r="BG45" i="1"/>
  <c r="BH45" i="1"/>
  <c r="BI45" i="1"/>
  <c r="BJ45" i="1"/>
  <c r="BK45" i="1"/>
  <c r="BL45" i="1"/>
  <c r="BM45" i="1"/>
  <c r="BO45" i="1"/>
  <c r="D46" i="1"/>
  <c r="F46" i="1"/>
  <c r="I46" i="1"/>
  <c r="K46" i="1"/>
  <c r="L46" i="1"/>
  <c r="M46" i="1"/>
  <c r="N46" i="1"/>
  <c r="O46" i="1"/>
  <c r="P46" i="1"/>
  <c r="Q46" i="1"/>
  <c r="R46" i="1"/>
  <c r="S46" i="1"/>
  <c r="T46" i="1"/>
  <c r="V46" i="1"/>
  <c r="W46" i="1"/>
  <c r="X46" i="1"/>
  <c r="Y46" i="1"/>
  <c r="Z46" i="1"/>
  <c r="AA46" i="1"/>
  <c r="AB46" i="1"/>
  <c r="AC46" i="1"/>
  <c r="AD46" i="1"/>
  <c r="AE46" i="1"/>
  <c r="AF46" i="1"/>
  <c r="AG46" i="1"/>
  <c r="AH46" i="1"/>
  <c r="AI46" i="1"/>
  <c r="AJ46" i="1"/>
  <c r="AK46" i="1"/>
  <c r="AL46" i="1"/>
  <c r="AM46" i="1"/>
  <c r="AN46" i="1"/>
  <c r="AO46" i="1"/>
  <c r="AP46" i="1"/>
  <c r="AQ46" i="1"/>
  <c r="AR46" i="1"/>
  <c r="AS46" i="1"/>
  <c r="AT46" i="1"/>
  <c r="AU46" i="1"/>
  <c r="AV46" i="1"/>
  <c r="AW46" i="1"/>
  <c r="AX46" i="1"/>
  <c r="AY46" i="1"/>
  <c r="AZ46" i="1"/>
  <c r="BA46" i="1"/>
  <c r="BB46" i="1"/>
  <c r="BC46" i="1"/>
  <c r="BD46" i="1"/>
  <c r="BE46" i="1"/>
  <c r="BF46" i="1"/>
  <c r="BG46" i="1"/>
  <c r="BH46" i="1"/>
  <c r="BI46" i="1"/>
  <c r="BJ46" i="1"/>
  <c r="BK46" i="1"/>
  <c r="BL46" i="1"/>
  <c r="BM46" i="1"/>
  <c r="BN46" i="1"/>
  <c r="BO46" i="1"/>
  <c r="BB13" i="2"/>
  <c r="R44" i="1" l="1"/>
  <c r="AC44" i="1"/>
  <c r="AO44" i="1"/>
  <c r="BB44" i="1"/>
  <c r="AM44" i="1"/>
  <c r="AL44" i="1"/>
  <c r="Q21" i="7"/>
  <c r="Q17" i="7"/>
  <c r="R17" i="7"/>
  <c r="S17" i="7"/>
  <c r="T17" i="7"/>
  <c r="U17" i="7"/>
  <c r="V17" i="7"/>
  <c r="W17" i="7"/>
  <c r="X17" i="7"/>
  <c r="Y17" i="7"/>
  <c r="Z17" i="7"/>
  <c r="M17" i="7"/>
  <c r="M33" i="7" s="1"/>
  <c r="N35" i="7"/>
  <c r="M35" i="7"/>
  <c r="M28" i="7"/>
  <c r="C36" i="7"/>
  <c r="C35" i="7"/>
  <c r="AD35" i="7"/>
  <c r="D35" i="7"/>
  <c r="E35" i="7"/>
  <c r="F35" i="7"/>
  <c r="G35" i="7"/>
  <c r="O35" i="7"/>
  <c r="P35" i="7"/>
  <c r="Q35" i="7"/>
  <c r="R35" i="7"/>
  <c r="S35" i="7"/>
  <c r="V35" i="7"/>
  <c r="W35" i="7"/>
  <c r="X35" i="7"/>
  <c r="Y35" i="7"/>
  <c r="Z35" i="7"/>
  <c r="AA35" i="7"/>
  <c r="AB35" i="7"/>
  <c r="AC35" i="7"/>
  <c r="AE35" i="7"/>
  <c r="G36" i="7"/>
  <c r="C34" i="7"/>
  <c r="AE36" i="7"/>
  <c r="AF32" i="7" l="1"/>
  <c r="AG32" i="7"/>
  <c r="AH32" i="7"/>
  <c r="AI32" i="7"/>
  <c r="AJ32" i="7"/>
  <c r="AE31" i="7"/>
  <c r="AH28" i="7"/>
  <c r="AG17" i="7"/>
  <c r="AH17" i="7"/>
  <c r="AI17" i="7"/>
  <c r="AJ17" i="7"/>
  <c r="AF17" i="7"/>
  <c r="AG21" i="7"/>
  <c r="AG31" i="7" s="1"/>
  <c r="AH21" i="7"/>
  <c r="AH31" i="7" s="1"/>
  <c r="AI21" i="7"/>
  <c r="AI28" i="7" s="1"/>
  <c r="AJ21" i="7"/>
  <c r="AJ28" i="7" s="1"/>
  <c r="AF21" i="7"/>
  <c r="AF31" i="7" s="1"/>
  <c r="N30" i="7"/>
  <c r="O30" i="7"/>
  <c r="P30" i="7"/>
  <c r="Q30" i="7"/>
  <c r="R30" i="7"/>
  <c r="S30" i="7"/>
  <c r="T30" i="7"/>
  <c r="U30" i="7"/>
  <c r="V30" i="7"/>
  <c r="W30" i="7"/>
  <c r="X30" i="7"/>
  <c r="Y30" i="7"/>
  <c r="Z30" i="7"/>
  <c r="AA30" i="7"/>
  <c r="AB30" i="7"/>
  <c r="AC30" i="7"/>
  <c r="AD30" i="7"/>
  <c r="AE30" i="7"/>
  <c r="AF30" i="7"/>
  <c r="AG30" i="7"/>
  <c r="AH30" i="7"/>
  <c r="AI30" i="7"/>
  <c r="AJ30" i="7"/>
  <c r="N31" i="7"/>
  <c r="O31" i="7"/>
  <c r="P31" i="7"/>
  <c r="AA31" i="7"/>
  <c r="AB31" i="7"/>
  <c r="AC31" i="7"/>
  <c r="AD31" i="7"/>
  <c r="N32" i="7"/>
  <c r="O32" i="7"/>
  <c r="P32" i="7"/>
  <c r="Q32" i="7"/>
  <c r="R32" i="7"/>
  <c r="S32" i="7"/>
  <c r="T32" i="7"/>
  <c r="U32" i="7"/>
  <c r="V32" i="7"/>
  <c r="W32" i="7"/>
  <c r="X32" i="7"/>
  <c r="Y32" i="7"/>
  <c r="Z32" i="7"/>
  <c r="AA32" i="7"/>
  <c r="AB32" i="7"/>
  <c r="AC32" i="7"/>
  <c r="AD32" i="7"/>
  <c r="AE32" i="7"/>
  <c r="Q33" i="7"/>
  <c r="R33" i="7"/>
  <c r="S33" i="7"/>
  <c r="T33" i="7"/>
  <c r="U33" i="7"/>
  <c r="V33" i="7"/>
  <c r="W33" i="7"/>
  <c r="X33" i="7"/>
  <c r="Y33" i="7"/>
  <c r="Z33" i="7"/>
  <c r="AF33" i="7"/>
  <c r="AG33" i="7"/>
  <c r="AH33" i="7"/>
  <c r="AI33" i="7"/>
  <c r="AJ33" i="7"/>
  <c r="M30" i="7"/>
  <c r="M32" i="7"/>
  <c r="M31" i="7"/>
  <c r="N28" i="7"/>
  <c r="O28" i="7"/>
  <c r="P28" i="7"/>
  <c r="AA28" i="7"/>
  <c r="AB28" i="7"/>
  <c r="AC28" i="7"/>
  <c r="AD28" i="7"/>
  <c r="AE28" i="7"/>
  <c r="D34" i="7"/>
  <c r="E34" i="7"/>
  <c r="F34" i="7"/>
  <c r="G34" i="7"/>
  <c r="M34" i="7"/>
  <c r="N34" i="7"/>
  <c r="O34" i="7"/>
  <c r="P34" i="7"/>
  <c r="Q34" i="7"/>
  <c r="R34" i="7"/>
  <c r="S34" i="7"/>
  <c r="V34" i="7"/>
  <c r="W34" i="7"/>
  <c r="X34" i="7"/>
  <c r="Y34" i="7"/>
  <c r="Z34" i="7"/>
  <c r="AA34" i="7"/>
  <c r="AB34" i="7"/>
  <c r="AC34" i="7"/>
  <c r="AD34" i="7"/>
  <c r="AE34" i="7"/>
  <c r="AF34" i="7"/>
  <c r="AG34" i="7"/>
  <c r="AH34" i="7"/>
  <c r="AI34" i="7"/>
  <c r="AJ34" i="7"/>
  <c r="D36" i="7"/>
  <c r="E36" i="7"/>
  <c r="F36" i="7"/>
  <c r="M36" i="7"/>
  <c r="N36" i="7"/>
  <c r="O36" i="7"/>
  <c r="P36" i="7"/>
  <c r="Q36" i="7"/>
  <c r="R36" i="7"/>
  <c r="S36" i="7"/>
  <c r="V36" i="7"/>
  <c r="W36" i="7"/>
  <c r="X36" i="7"/>
  <c r="Y36" i="7"/>
  <c r="Z36" i="7"/>
  <c r="AA36" i="7"/>
  <c r="AB36" i="7"/>
  <c r="AC36" i="7"/>
  <c r="AD36" i="7"/>
  <c r="AG28" i="7" l="1"/>
  <c r="AF28" i="7"/>
  <c r="AI31" i="7"/>
  <c r="AJ31" i="7"/>
  <c r="N17" i="1" l="1"/>
  <c r="N32" i="1" l="1"/>
  <c r="N38" i="1"/>
  <c r="N34" i="1"/>
  <c r="N33" i="1"/>
  <c r="N45" i="1"/>
  <c r="AY13" i="1"/>
  <c r="BM18" i="2"/>
  <c r="BL18" i="2"/>
  <c r="BK18" i="2"/>
  <c r="BJ18" i="2"/>
  <c r="BI18" i="2"/>
  <c r="BH18" i="2"/>
  <c r="BG18" i="2"/>
  <c r="BF18" i="2"/>
  <c r="BE18" i="2"/>
  <c r="BD18" i="2"/>
  <c r="BC18" i="2"/>
  <c r="AZ18" i="2"/>
  <c r="AY18" i="2"/>
  <c r="AX18" i="2"/>
  <c r="AW18" i="2"/>
  <c r="AV18" i="2"/>
  <c r="AU18" i="2"/>
  <c r="AT18" i="2"/>
  <c r="AS18" i="2"/>
  <c r="AR18" i="2"/>
  <c r="AP18" i="2"/>
  <c r="AM18" i="2"/>
  <c r="AL18" i="2"/>
  <c r="AK18" i="2"/>
  <c r="AJ18" i="2"/>
  <c r="AI18" i="2"/>
  <c r="AH18" i="2"/>
  <c r="AE18" i="2"/>
  <c r="AC18" i="2"/>
  <c r="Y18" i="2"/>
  <c r="V18" i="2"/>
  <c r="U18" i="2"/>
  <c r="T18" i="2"/>
  <c r="R18" i="2"/>
  <c r="P18" i="2"/>
  <c r="L18" i="2"/>
  <c r="K18" i="2"/>
  <c r="I18" i="2"/>
  <c r="C18" i="2"/>
  <c r="AG18" i="2"/>
  <c r="X18" i="2"/>
  <c r="C46" i="2"/>
  <c r="C46" i="1"/>
  <c r="P25" i="1"/>
  <c r="AY43" i="1" l="1"/>
  <c r="AY40" i="1"/>
  <c r="AY33" i="1"/>
  <c r="N35" i="1"/>
  <c r="N44" i="1"/>
  <c r="BD16" i="1"/>
  <c r="BD17" i="1" s="1"/>
  <c r="AQ16" i="1"/>
  <c r="AQ17" i="1" s="1"/>
  <c r="AD16" i="1"/>
  <c r="AD17" i="1" s="1"/>
  <c r="Q16" i="1"/>
  <c r="Q17" i="1"/>
  <c r="BN17" i="1"/>
  <c r="BA17" i="1"/>
  <c r="AN17" i="1"/>
  <c r="AA17" i="1"/>
  <c r="C36" i="1"/>
  <c r="C34" i="1"/>
  <c r="C32" i="1"/>
  <c r="AA32" i="1" l="1"/>
  <c r="AA34" i="1"/>
  <c r="AA33" i="1"/>
  <c r="AA45" i="1"/>
  <c r="AA38" i="1"/>
  <c r="AN32" i="1"/>
  <c r="AN34" i="1"/>
  <c r="AN38" i="1"/>
  <c r="AN33" i="1"/>
  <c r="AN45" i="1"/>
  <c r="BA34" i="1"/>
  <c r="BA38" i="1"/>
  <c r="BA45" i="1"/>
  <c r="BA33" i="1"/>
  <c r="BA32" i="1"/>
  <c r="BN33" i="1"/>
  <c r="BN34" i="1"/>
  <c r="BN38" i="1"/>
  <c r="BN45" i="1"/>
  <c r="BN32" i="1"/>
  <c r="Q32" i="1"/>
  <c r="Q34" i="1"/>
  <c r="Q38" i="1"/>
  <c r="Q33" i="1"/>
  <c r="Q45" i="1"/>
  <c r="AD34" i="1"/>
  <c r="AD33" i="1"/>
  <c r="AD32" i="1"/>
  <c r="AD38" i="1"/>
  <c r="AD45" i="1"/>
  <c r="AQ32" i="1"/>
  <c r="AQ45" i="1"/>
  <c r="AQ33" i="1"/>
  <c r="AQ34" i="1"/>
  <c r="AQ38" i="1"/>
  <c r="BD32" i="1"/>
  <c r="BD45" i="1"/>
  <c r="BD33" i="1"/>
  <c r="BD34" i="1"/>
  <c r="BD38" i="1"/>
  <c r="C19" i="9"/>
  <c r="D19" i="9"/>
  <c r="E19" i="9"/>
  <c r="F19" i="9"/>
  <c r="G19" i="9"/>
  <c r="D28" i="9"/>
  <c r="E28" i="9"/>
  <c r="F28" i="9"/>
  <c r="G28" i="9"/>
  <c r="P33" i="2"/>
  <c r="Z40" i="2"/>
  <c r="BN43" i="2"/>
  <c r="AI33" i="2"/>
  <c r="AI34" i="2"/>
  <c r="AI37" i="2" s="1"/>
  <c r="AI35" i="2"/>
  <c r="AI36" i="2"/>
  <c r="AI39" i="2"/>
  <c r="AI40" i="2"/>
  <c r="AI41" i="2"/>
  <c r="AI42" i="2"/>
  <c r="AI43" i="2"/>
  <c r="AI44" i="2"/>
  <c r="AI45" i="2"/>
  <c r="AI46" i="2"/>
  <c r="BD44" i="1" l="1"/>
  <c r="BD35" i="1"/>
  <c r="Q35" i="1"/>
  <c r="Q44" i="1"/>
  <c r="BN35" i="1"/>
  <c r="BN44" i="1"/>
  <c r="AQ35" i="1"/>
  <c r="AQ44" i="1"/>
  <c r="AN35" i="1"/>
  <c r="AN44" i="1"/>
  <c r="AD35" i="1"/>
  <c r="AD44" i="1"/>
  <c r="BA35" i="1"/>
  <c r="BA44" i="1"/>
  <c r="AA35" i="1"/>
  <c r="AA44" i="1"/>
  <c r="M13" i="1"/>
  <c r="M43" i="1" l="1"/>
  <c r="M33" i="1"/>
  <c r="M40" i="1"/>
  <c r="BE22" i="2"/>
  <c r="AF34" i="6" l="1"/>
  <c r="M22" i="7" l="1"/>
  <c r="N22" i="7"/>
  <c r="O22" i="7"/>
  <c r="P22" i="7"/>
  <c r="Q22" i="7"/>
  <c r="R22" i="7"/>
  <c r="S22" i="7"/>
  <c r="T22" i="7"/>
  <c r="U22" i="7"/>
  <c r="V22" i="7"/>
  <c r="W22" i="7"/>
  <c r="X22" i="7"/>
  <c r="Y22" i="7"/>
  <c r="Z22" i="7"/>
  <c r="AY22" i="6" l="1"/>
  <c r="AZ22" i="6"/>
  <c r="BA22" i="6"/>
  <c r="BA26" i="6" s="1"/>
  <c r="BB22" i="6"/>
  <c r="BB26" i="6" s="1"/>
  <c r="BC22" i="6"/>
  <c r="BC26" i="6" s="1"/>
  <c r="AT23" i="6"/>
  <c r="AU23" i="6"/>
  <c r="AV23" i="6"/>
  <c r="AW23" i="6"/>
  <c r="AX23" i="6"/>
  <c r="AY23" i="6"/>
  <c r="AZ23" i="6"/>
  <c r="BA23" i="6"/>
  <c r="BB23" i="6"/>
  <c r="BC23" i="6"/>
  <c r="AY24" i="6"/>
  <c r="AZ24" i="6"/>
  <c r="BA24" i="6"/>
  <c r="BB24" i="6"/>
  <c r="BC24" i="6"/>
  <c r="AT25" i="6"/>
  <c r="AU25" i="6"/>
  <c r="AY25" i="6"/>
  <c r="AZ25" i="6"/>
  <c r="BA25" i="6"/>
  <c r="BB25" i="6"/>
  <c r="BC25" i="6"/>
  <c r="AY26" i="6"/>
  <c r="AZ26" i="6"/>
  <c r="AT27" i="6"/>
  <c r="AU27" i="6"/>
  <c r="AV27" i="6"/>
  <c r="AW27" i="6"/>
  <c r="AX27" i="6"/>
  <c r="AY27" i="6"/>
  <c r="AZ27" i="6"/>
  <c r="BA27" i="6"/>
  <c r="BB27" i="6"/>
  <c r="BC27" i="6"/>
  <c r="AT28" i="6"/>
  <c r="AU28" i="6"/>
  <c r="AV28" i="6"/>
  <c r="AW28" i="6"/>
  <c r="AX28" i="6"/>
  <c r="AY28" i="6"/>
  <c r="AZ28" i="6"/>
  <c r="BA28" i="6"/>
  <c r="BB28" i="6"/>
  <c r="BC28" i="6"/>
  <c r="AY29" i="6"/>
  <c r="AZ29" i="6"/>
  <c r="BA29" i="6"/>
  <c r="BB29" i="6"/>
  <c r="BC29" i="6"/>
  <c r="AT30" i="6"/>
  <c r="AU30" i="6"/>
  <c r="AV30" i="6"/>
  <c r="AW30" i="6"/>
  <c r="AX30" i="6"/>
  <c r="AY30" i="6"/>
  <c r="AZ30" i="6"/>
  <c r="BA30" i="6"/>
  <c r="BB30" i="6"/>
  <c r="BC30" i="6"/>
  <c r="AT31" i="6"/>
  <c r="AU31" i="6"/>
  <c r="AV31" i="6"/>
  <c r="AW31" i="6"/>
  <c r="AX31" i="6"/>
  <c r="AY31" i="6"/>
  <c r="AZ31" i="6"/>
  <c r="BA31" i="6"/>
  <c r="BB31" i="6"/>
  <c r="BC31" i="6"/>
  <c r="AT32" i="6"/>
  <c r="AU32" i="6"/>
  <c r="AV32" i="6"/>
  <c r="AW32" i="6"/>
  <c r="AX32" i="6"/>
  <c r="AY32" i="6"/>
  <c r="AZ32" i="6"/>
  <c r="BA32" i="6"/>
  <c r="BB32" i="6"/>
  <c r="BC32" i="6"/>
  <c r="AT33" i="6"/>
  <c r="AU33" i="6"/>
  <c r="AV33" i="6"/>
  <c r="AW33" i="6"/>
  <c r="AX33" i="6"/>
  <c r="AY33" i="6"/>
  <c r="AZ33" i="6"/>
  <c r="BA33" i="6"/>
  <c r="BB33" i="6"/>
  <c r="BC33" i="6"/>
  <c r="AT34" i="6"/>
  <c r="AU34" i="6"/>
  <c r="AV34" i="6"/>
  <c r="AW34" i="6"/>
  <c r="AX34" i="6"/>
  <c r="AY34" i="6"/>
  <c r="AZ34" i="6"/>
  <c r="BA34" i="6"/>
  <c r="BB34" i="6"/>
  <c r="BC34" i="6"/>
  <c r="AO23" i="6"/>
  <c r="AP23" i="6"/>
  <c r="AQ23" i="6"/>
  <c r="AR23" i="6"/>
  <c r="AS23" i="6"/>
  <c r="AP25" i="6"/>
  <c r="AO27" i="6"/>
  <c r="AP27" i="6"/>
  <c r="AQ27" i="6"/>
  <c r="AR27" i="6"/>
  <c r="AS27" i="6"/>
  <c r="AP28" i="6"/>
  <c r="AQ28" i="6"/>
  <c r="AR28" i="6"/>
  <c r="AS28" i="6"/>
  <c r="AP30" i="6"/>
  <c r="AQ30" i="6"/>
  <c r="AR30" i="6"/>
  <c r="AS30" i="6"/>
  <c r="AO31" i="6"/>
  <c r="AP31" i="6"/>
  <c r="AQ31" i="6"/>
  <c r="AR31" i="6"/>
  <c r="AS31" i="6"/>
  <c r="AO32" i="6"/>
  <c r="AP32" i="6"/>
  <c r="AQ32" i="6"/>
  <c r="AR32" i="6"/>
  <c r="AS32" i="6"/>
  <c r="AO33" i="6"/>
  <c r="AP33" i="6"/>
  <c r="AQ33" i="6"/>
  <c r="AR33" i="6"/>
  <c r="AS33" i="6"/>
  <c r="AO34" i="6"/>
  <c r="AP34" i="6"/>
  <c r="AQ34" i="6"/>
  <c r="AR34" i="6"/>
  <c r="AS34" i="6"/>
  <c r="AF22" i="6"/>
  <c r="AF26" i="6" s="1"/>
  <c r="AG22" i="6"/>
  <c r="AG26" i="6" s="1"/>
  <c r="AH22" i="6"/>
  <c r="AH26" i="6" s="1"/>
  <c r="AF23" i="6"/>
  <c r="AG23" i="6"/>
  <c r="AH23" i="6"/>
  <c r="AI23" i="6"/>
  <c r="AF24" i="6"/>
  <c r="AG24" i="6"/>
  <c r="AI24" i="6"/>
  <c r="AF25" i="6"/>
  <c r="AG25" i="6"/>
  <c r="AH25" i="6"/>
  <c r="AF27" i="6"/>
  <c r="AG27" i="6"/>
  <c r="AH27" i="6"/>
  <c r="AI27" i="6"/>
  <c r="AF28" i="6"/>
  <c r="AG28" i="6"/>
  <c r="AH28" i="6"/>
  <c r="AI28" i="6"/>
  <c r="AF30" i="6"/>
  <c r="AG30" i="6"/>
  <c r="AH30" i="6"/>
  <c r="AI30" i="6"/>
  <c r="AF31" i="6"/>
  <c r="AG31" i="6"/>
  <c r="AH31" i="6"/>
  <c r="AI31" i="6"/>
  <c r="AF17" i="6"/>
  <c r="AF29" i="6" s="1"/>
  <c r="AG17" i="6"/>
  <c r="AG29" i="6" s="1"/>
  <c r="AH17" i="6"/>
  <c r="AH29" i="6" s="1"/>
  <c r="AI17" i="6"/>
  <c r="AI22" i="6" s="1"/>
  <c r="AI26" i="6" s="1"/>
  <c r="AE17" i="6"/>
  <c r="AE25" i="6" s="1"/>
  <c r="AE22" i="6"/>
  <c r="AE26" i="6" s="1"/>
  <c r="AE23" i="6"/>
  <c r="AE24" i="6"/>
  <c r="AE27" i="6"/>
  <c r="AE28" i="6"/>
  <c r="AE29" i="6"/>
  <c r="AE30" i="6"/>
  <c r="AE31" i="6"/>
  <c r="Z23" i="6"/>
  <c r="AA23" i="6"/>
  <c r="AB23" i="6"/>
  <c r="AC23" i="6"/>
  <c r="AD23" i="6"/>
  <c r="Z27" i="6"/>
  <c r="AA27" i="6"/>
  <c r="AB27" i="6"/>
  <c r="AC27" i="6"/>
  <c r="AD27" i="6"/>
  <c r="Z28" i="6"/>
  <c r="AA28" i="6"/>
  <c r="AB28" i="6"/>
  <c r="AC28" i="6"/>
  <c r="AD28" i="6"/>
  <c r="Z30" i="6"/>
  <c r="AA30" i="6"/>
  <c r="AB30" i="6"/>
  <c r="AC30" i="6"/>
  <c r="AD30" i="6"/>
  <c r="Z31" i="6"/>
  <c r="AA31" i="6"/>
  <c r="AB31" i="6"/>
  <c r="AC31" i="6"/>
  <c r="AD31" i="6"/>
  <c r="Z32" i="6"/>
  <c r="AA32" i="6"/>
  <c r="AB32" i="6"/>
  <c r="AC32" i="6"/>
  <c r="AD32" i="6"/>
  <c r="Z33" i="6"/>
  <c r="AA33" i="6"/>
  <c r="AB33" i="6"/>
  <c r="AC33" i="6"/>
  <c r="AD33" i="6"/>
  <c r="Z34" i="6"/>
  <c r="AA34" i="6"/>
  <c r="AB34" i="6"/>
  <c r="AC34" i="6"/>
  <c r="AD34" i="6"/>
  <c r="V22" i="6"/>
  <c r="W22" i="6"/>
  <c r="X22" i="6"/>
  <c r="X26" i="6" s="1"/>
  <c r="Y22" i="6"/>
  <c r="Y26" i="6" s="1"/>
  <c r="V23" i="6"/>
  <c r="W23" i="6"/>
  <c r="X23" i="6"/>
  <c r="Y23" i="6"/>
  <c r="V24" i="6"/>
  <c r="W24" i="6"/>
  <c r="X24" i="6"/>
  <c r="Y24" i="6"/>
  <c r="V25" i="6"/>
  <c r="W25" i="6"/>
  <c r="X25" i="6"/>
  <c r="Y25" i="6"/>
  <c r="V26" i="6"/>
  <c r="W26" i="6"/>
  <c r="V27" i="6"/>
  <c r="W27" i="6"/>
  <c r="X27" i="6"/>
  <c r="Y27" i="6"/>
  <c r="V28" i="6"/>
  <c r="W28" i="6"/>
  <c r="X28" i="6"/>
  <c r="Y28" i="6"/>
  <c r="V29" i="6"/>
  <c r="W29" i="6"/>
  <c r="X29" i="6"/>
  <c r="Y29" i="6"/>
  <c r="V30" i="6"/>
  <c r="W30" i="6"/>
  <c r="X30" i="6"/>
  <c r="Y30" i="6"/>
  <c r="V31" i="6"/>
  <c r="W31" i="6"/>
  <c r="X31" i="6"/>
  <c r="Y31" i="6"/>
  <c r="V32" i="6"/>
  <c r="W32" i="6"/>
  <c r="X32" i="6"/>
  <c r="Y32" i="6"/>
  <c r="V33" i="6"/>
  <c r="W33" i="6"/>
  <c r="X33" i="6"/>
  <c r="Y33" i="6"/>
  <c r="V34" i="6"/>
  <c r="W34" i="6"/>
  <c r="X34" i="6"/>
  <c r="Y34" i="6"/>
  <c r="N23" i="6"/>
  <c r="O23" i="6"/>
  <c r="P23" i="6"/>
  <c r="N27" i="6"/>
  <c r="O27" i="6"/>
  <c r="P27" i="6"/>
  <c r="N28" i="6"/>
  <c r="O28" i="6"/>
  <c r="P28" i="6"/>
  <c r="N30" i="6"/>
  <c r="O30" i="6"/>
  <c r="P30" i="6"/>
  <c r="N31" i="6"/>
  <c r="O31" i="6"/>
  <c r="P31" i="6"/>
  <c r="N32" i="6"/>
  <c r="O32" i="6"/>
  <c r="P32" i="6"/>
  <c r="N33" i="6"/>
  <c r="O33" i="6"/>
  <c r="P33" i="6"/>
  <c r="N34" i="6"/>
  <c r="O34" i="6"/>
  <c r="P34" i="6"/>
  <c r="H22" i="6"/>
  <c r="I22" i="6"/>
  <c r="J22" i="6"/>
  <c r="K22" i="6"/>
  <c r="L22" i="6"/>
  <c r="H23" i="6"/>
  <c r="I23" i="6"/>
  <c r="J23" i="6"/>
  <c r="K23" i="6"/>
  <c r="L23" i="6"/>
  <c r="M23" i="6"/>
  <c r="H27" i="6"/>
  <c r="I27" i="6"/>
  <c r="J27" i="6"/>
  <c r="K27" i="6"/>
  <c r="L27" i="6"/>
  <c r="M27" i="6"/>
  <c r="H28" i="6"/>
  <c r="I28" i="6"/>
  <c r="J28" i="6"/>
  <c r="K28" i="6"/>
  <c r="L28" i="6"/>
  <c r="M28" i="6"/>
  <c r="H29" i="6"/>
  <c r="I29" i="6"/>
  <c r="J29" i="6"/>
  <c r="K29" i="6"/>
  <c r="L29" i="6"/>
  <c r="M29" i="6"/>
  <c r="H30" i="6"/>
  <c r="I30" i="6"/>
  <c r="J30" i="6"/>
  <c r="K30" i="6"/>
  <c r="L30" i="6"/>
  <c r="M30" i="6"/>
  <c r="M31" i="6"/>
  <c r="H32" i="6"/>
  <c r="I32" i="6"/>
  <c r="J32" i="6"/>
  <c r="K32" i="6"/>
  <c r="L32" i="6"/>
  <c r="M32" i="6"/>
  <c r="H33" i="6"/>
  <c r="I33" i="6"/>
  <c r="J33" i="6"/>
  <c r="K33" i="6"/>
  <c r="L33" i="6"/>
  <c r="M33" i="6"/>
  <c r="H34" i="6"/>
  <c r="I34" i="6"/>
  <c r="J34" i="6"/>
  <c r="K34" i="6"/>
  <c r="L34" i="6"/>
  <c r="M34" i="6"/>
  <c r="Q17" i="6"/>
  <c r="Q22" i="6" s="1"/>
  <c r="R17" i="6"/>
  <c r="S17" i="6"/>
  <c r="T17" i="6"/>
  <c r="U17" i="6"/>
  <c r="U22" i="6" s="1"/>
  <c r="N17" i="6"/>
  <c r="O17" i="6"/>
  <c r="P17" i="6"/>
  <c r="P22" i="6" s="1"/>
  <c r="P26" i="6" s="1"/>
  <c r="M17" i="6"/>
  <c r="D22" i="6"/>
  <c r="D26" i="6" s="1"/>
  <c r="E22" i="6"/>
  <c r="E26" i="6" s="1"/>
  <c r="F22" i="6"/>
  <c r="G22" i="6"/>
  <c r="D23" i="6"/>
  <c r="E23" i="6"/>
  <c r="F23" i="6"/>
  <c r="G23" i="6"/>
  <c r="D24" i="6"/>
  <c r="E24" i="6"/>
  <c r="F24" i="6"/>
  <c r="G24" i="6"/>
  <c r="D25" i="6"/>
  <c r="E25" i="6"/>
  <c r="F25" i="6"/>
  <c r="G25" i="6"/>
  <c r="F26" i="6"/>
  <c r="G26" i="6"/>
  <c r="D27" i="6"/>
  <c r="E27" i="6"/>
  <c r="F27" i="6"/>
  <c r="G27" i="6"/>
  <c r="D28" i="6"/>
  <c r="E28" i="6"/>
  <c r="F28" i="6"/>
  <c r="G28" i="6"/>
  <c r="D29" i="6"/>
  <c r="E29" i="6"/>
  <c r="F29" i="6"/>
  <c r="G29" i="6"/>
  <c r="D30" i="6"/>
  <c r="E30" i="6"/>
  <c r="F30" i="6"/>
  <c r="G30" i="6"/>
  <c r="D31" i="6"/>
  <c r="E31" i="6"/>
  <c r="F31" i="6"/>
  <c r="G31" i="6"/>
  <c r="D32" i="6"/>
  <c r="E32" i="6"/>
  <c r="F32" i="6"/>
  <c r="G32" i="6"/>
  <c r="D33" i="6"/>
  <c r="E33" i="6"/>
  <c r="F33" i="6"/>
  <c r="G33" i="6"/>
  <c r="D34" i="6"/>
  <c r="E34" i="6"/>
  <c r="F34" i="6"/>
  <c r="G34" i="6"/>
  <c r="BH33" i="2"/>
  <c r="BJ33" i="2"/>
  <c r="BK33" i="2"/>
  <c r="BL33" i="2"/>
  <c r="BM33" i="2"/>
  <c r="BN33" i="2"/>
  <c r="BO33" i="2"/>
  <c r="BH34" i="2"/>
  <c r="BH37" i="2" s="1"/>
  <c r="BJ34" i="2"/>
  <c r="BJ37" i="2" s="1"/>
  <c r="BK34" i="2"/>
  <c r="BK37" i="2" s="1"/>
  <c r="BL34" i="2"/>
  <c r="BL37" i="2" s="1"/>
  <c r="BM34" i="2"/>
  <c r="BM37" i="2" s="1"/>
  <c r="BO34" i="2"/>
  <c r="BO37" i="2" s="1"/>
  <c r="BH36" i="2"/>
  <c r="BJ36" i="2"/>
  <c r="BK36" i="2"/>
  <c r="BL36" i="2"/>
  <c r="BM36" i="2"/>
  <c r="BO36" i="2"/>
  <c r="BH39" i="2"/>
  <c r="BJ39" i="2"/>
  <c r="BK39" i="2"/>
  <c r="BL39" i="2"/>
  <c r="BM39" i="2"/>
  <c r="BN39" i="2"/>
  <c r="BO39" i="2"/>
  <c r="BH40" i="2"/>
  <c r="BJ40" i="2"/>
  <c r="BK40" i="2"/>
  <c r="BL40" i="2"/>
  <c r="BM40" i="2"/>
  <c r="BO40" i="2"/>
  <c r="BH41" i="2"/>
  <c r="BJ41" i="2"/>
  <c r="BK41" i="2"/>
  <c r="BL41" i="2"/>
  <c r="BM41" i="2"/>
  <c r="BN41" i="2"/>
  <c r="BO41" i="2"/>
  <c r="BH43" i="2"/>
  <c r="BJ43" i="2"/>
  <c r="BK43" i="2"/>
  <c r="BL43" i="2"/>
  <c r="BM43" i="2"/>
  <c r="BO43" i="2"/>
  <c r="BH44" i="2"/>
  <c r="BJ44" i="2"/>
  <c r="BK44" i="2"/>
  <c r="BL44" i="2"/>
  <c r="BM44" i="2"/>
  <c r="BN44" i="2"/>
  <c r="BO44" i="2"/>
  <c r="BH45" i="2"/>
  <c r="BJ45" i="2"/>
  <c r="BK45" i="2"/>
  <c r="BL45" i="2"/>
  <c r="BM45" i="2"/>
  <c r="BN45" i="2"/>
  <c r="BO45" i="2"/>
  <c r="BH46" i="2"/>
  <c r="BJ46" i="2"/>
  <c r="BK46" i="2"/>
  <c r="BL46" i="2"/>
  <c r="BM46" i="2"/>
  <c r="BN46" i="2"/>
  <c r="BO46" i="2"/>
  <c r="BC33" i="2"/>
  <c r="BD33" i="2"/>
  <c r="BE33" i="2"/>
  <c r="BF33" i="2"/>
  <c r="BG33" i="2"/>
  <c r="BC34" i="2"/>
  <c r="BC37" i="2" s="1"/>
  <c r="BD34" i="2"/>
  <c r="BD37" i="2" s="1"/>
  <c r="BE34" i="2"/>
  <c r="BE37" i="2" s="1"/>
  <c r="BF34" i="2"/>
  <c r="BF37" i="2" s="1"/>
  <c r="BG34" i="2"/>
  <c r="BG37" i="2" s="1"/>
  <c r="BF35" i="2"/>
  <c r="BC36" i="2"/>
  <c r="BD36" i="2"/>
  <c r="BE36" i="2"/>
  <c r="BF36" i="2"/>
  <c r="BG36" i="2"/>
  <c r="BC39" i="2"/>
  <c r="BD39" i="2"/>
  <c r="BE39" i="2"/>
  <c r="BF39" i="2"/>
  <c r="BG39" i="2"/>
  <c r="BC40" i="2"/>
  <c r="BD40" i="2"/>
  <c r="BE40" i="2"/>
  <c r="BF40" i="2"/>
  <c r="BG40" i="2"/>
  <c r="BC41" i="2"/>
  <c r="BD41" i="2"/>
  <c r="BE41" i="2"/>
  <c r="BF41" i="2"/>
  <c r="BG41" i="2"/>
  <c r="BF42" i="2"/>
  <c r="BC43" i="2"/>
  <c r="BD43" i="2"/>
  <c r="BE43" i="2"/>
  <c r="BF43" i="2"/>
  <c r="BG43" i="2"/>
  <c r="BC44" i="2"/>
  <c r="BD44" i="2"/>
  <c r="BE44" i="2"/>
  <c r="BF44" i="2"/>
  <c r="BG44" i="2"/>
  <c r="BC45" i="2"/>
  <c r="BD45" i="2"/>
  <c r="BE45" i="2"/>
  <c r="BF45" i="2"/>
  <c r="BG45" i="2"/>
  <c r="BC46" i="2"/>
  <c r="BD46" i="2"/>
  <c r="BE46" i="2"/>
  <c r="BF46" i="2"/>
  <c r="BG46" i="2"/>
  <c r="AS33" i="2"/>
  <c r="AT33" i="2"/>
  <c r="AU33" i="2"/>
  <c r="AW33" i="2"/>
  <c r="AX33" i="2"/>
  <c r="AY33" i="2"/>
  <c r="AZ33" i="2"/>
  <c r="BA33" i="2"/>
  <c r="BB33" i="2"/>
  <c r="AS34" i="2"/>
  <c r="AS37" i="2" s="1"/>
  <c r="AT34" i="2"/>
  <c r="AT37" i="2" s="1"/>
  <c r="AU34" i="2"/>
  <c r="AU37" i="2" s="1"/>
  <c r="AW34" i="2"/>
  <c r="AW37" i="2" s="1"/>
  <c r="AX34" i="2"/>
  <c r="AX37" i="2" s="1"/>
  <c r="AY34" i="2"/>
  <c r="AY37" i="2" s="1"/>
  <c r="AZ34" i="2"/>
  <c r="AZ37" i="2" s="1"/>
  <c r="BB34" i="2"/>
  <c r="BB37" i="2" s="1"/>
  <c r="AS35" i="2"/>
  <c r="BB35" i="2"/>
  <c r="AS36" i="2"/>
  <c r="AT36" i="2"/>
  <c r="AU36" i="2"/>
  <c r="AW36" i="2"/>
  <c r="AX36" i="2"/>
  <c r="AY36" i="2"/>
  <c r="AZ36" i="2"/>
  <c r="BB36" i="2"/>
  <c r="AS39" i="2"/>
  <c r="AT39" i="2"/>
  <c r="AU39" i="2"/>
  <c r="AW39" i="2"/>
  <c r="AX39" i="2"/>
  <c r="AY39" i="2"/>
  <c r="AZ39" i="2"/>
  <c r="BA39" i="2"/>
  <c r="BB39" i="2"/>
  <c r="AS40" i="2"/>
  <c r="AT40" i="2"/>
  <c r="AU40" i="2"/>
  <c r="AW40" i="2"/>
  <c r="AX40" i="2"/>
  <c r="AY40" i="2"/>
  <c r="AZ40" i="2"/>
  <c r="BB40" i="2"/>
  <c r="AS41" i="2"/>
  <c r="AT41" i="2"/>
  <c r="AU41" i="2"/>
  <c r="AW41" i="2"/>
  <c r="AX41" i="2"/>
  <c r="AY41" i="2"/>
  <c r="AZ41" i="2"/>
  <c r="BA41" i="2"/>
  <c r="BB41" i="2"/>
  <c r="AS42" i="2"/>
  <c r="BB42" i="2"/>
  <c r="AS43" i="2"/>
  <c r="AT43" i="2"/>
  <c r="AU43" i="2"/>
  <c r="AW43" i="2"/>
  <c r="AX43" i="2"/>
  <c r="AY43" i="2"/>
  <c r="AZ43" i="2"/>
  <c r="BA43" i="2"/>
  <c r="BB43" i="2"/>
  <c r="AS44" i="2"/>
  <c r="AT44" i="2"/>
  <c r="AU44" i="2"/>
  <c r="AW44" i="2"/>
  <c r="AX44" i="2"/>
  <c r="AY44" i="2"/>
  <c r="AZ44" i="2"/>
  <c r="BA44" i="2"/>
  <c r="BB44" i="2"/>
  <c r="AS45" i="2"/>
  <c r="AT45" i="2"/>
  <c r="AU45" i="2"/>
  <c r="AW45" i="2"/>
  <c r="AX45" i="2"/>
  <c r="AY45" i="2"/>
  <c r="AZ45" i="2"/>
  <c r="BA45" i="2"/>
  <c r="BB45" i="2"/>
  <c r="AS46" i="2"/>
  <c r="AT46" i="2"/>
  <c r="AU46" i="2"/>
  <c r="AW46" i="2"/>
  <c r="AX46" i="2"/>
  <c r="AY46" i="2"/>
  <c r="AZ46" i="2"/>
  <c r="BA46" i="2"/>
  <c r="BB46" i="2"/>
  <c r="AP33" i="2"/>
  <c r="AQ33" i="2"/>
  <c r="AR33" i="2"/>
  <c r="AP34" i="2"/>
  <c r="AP37" i="2" s="1"/>
  <c r="AQ34" i="2"/>
  <c r="AQ37" i="2" s="1"/>
  <c r="AR34" i="2"/>
  <c r="AR37" i="2" s="1"/>
  <c r="AP36" i="2"/>
  <c r="AQ36" i="2"/>
  <c r="AR36" i="2"/>
  <c r="AP39" i="2"/>
  <c r="AQ39" i="2"/>
  <c r="AR39" i="2"/>
  <c r="AP40" i="2"/>
  <c r="AQ40" i="2"/>
  <c r="AR40" i="2"/>
  <c r="AP41" i="2"/>
  <c r="AQ41" i="2"/>
  <c r="AR41" i="2"/>
  <c r="AP43" i="2"/>
  <c r="AQ43" i="2"/>
  <c r="AR43" i="2"/>
  <c r="AP44" i="2"/>
  <c r="AQ44" i="2"/>
  <c r="AR44" i="2"/>
  <c r="AP45" i="2"/>
  <c r="AQ45" i="2"/>
  <c r="AR45" i="2"/>
  <c r="AP46" i="2"/>
  <c r="AQ46" i="2"/>
  <c r="AR46" i="2"/>
  <c r="AH33" i="2"/>
  <c r="AJ33" i="2"/>
  <c r="AK33" i="2"/>
  <c r="AL33" i="2"/>
  <c r="AM33" i="2"/>
  <c r="AN33" i="2"/>
  <c r="AO33" i="2"/>
  <c r="AH34" i="2"/>
  <c r="AH37" i="2" s="1"/>
  <c r="AJ34" i="2"/>
  <c r="AJ37" i="2" s="1"/>
  <c r="AK34" i="2"/>
  <c r="AK37" i="2" s="1"/>
  <c r="AL34" i="2"/>
  <c r="AL37" i="2" s="1"/>
  <c r="AM34" i="2"/>
  <c r="AM37" i="2" s="1"/>
  <c r="AO34" i="2"/>
  <c r="AO37" i="2" s="1"/>
  <c r="AH36" i="2"/>
  <c r="AJ36" i="2"/>
  <c r="AK36" i="2"/>
  <c r="AL36" i="2"/>
  <c r="AM36" i="2"/>
  <c r="AO36" i="2"/>
  <c r="AH39" i="2"/>
  <c r="AJ39" i="2"/>
  <c r="AK39" i="2"/>
  <c r="AL39" i="2"/>
  <c r="AM39" i="2"/>
  <c r="AN39" i="2"/>
  <c r="AO39" i="2"/>
  <c r="AH40" i="2"/>
  <c r="AJ40" i="2"/>
  <c r="AK40" i="2"/>
  <c r="AL40" i="2"/>
  <c r="AM40" i="2"/>
  <c r="AO40" i="2"/>
  <c r="AH41" i="2"/>
  <c r="AJ41" i="2"/>
  <c r="AK41" i="2"/>
  <c r="AL41" i="2"/>
  <c r="AM41" i="2"/>
  <c r="AN41" i="2"/>
  <c r="AO41" i="2"/>
  <c r="AH43" i="2"/>
  <c r="AJ43" i="2"/>
  <c r="AK43" i="2"/>
  <c r="AL43" i="2"/>
  <c r="AM43" i="2"/>
  <c r="AN43" i="2"/>
  <c r="AO43" i="2"/>
  <c r="AH44" i="2"/>
  <c r="AJ44" i="2"/>
  <c r="AK44" i="2"/>
  <c r="AL44" i="2"/>
  <c r="AM44" i="2"/>
  <c r="AN44" i="2"/>
  <c r="AO44" i="2"/>
  <c r="AH45" i="2"/>
  <c r="AJ45" i="2"/>
  <c r="AK45" i="2"/>
  <c r="AL45" i="2"/>
  <c r="AM45" i="2"/>
  <c r="AN45" i="2"/>
  <c r="AO45" i="2"/>
  <c r="AH46" i="2"/>
  <c r="AJ46" i="2"/>
  <c r="AK46" i="2"/>
  <c r="AL46" i="2"/>
  <c r="AM46" i="2"/>
  <c r="AN46" i="2"/>
  <c r="AO46" i="2"/>
  <c r="AC33" i="2"/>
  <c r="AD33" i="2"/>
  <c r="AE33" i="2"/>
  <c r="AF33" i="2"/>
  <c r="AG33" i="2"/>
  <c r="AC34" i="2"/>
  <c r="AC37" i="2" s="1"/>
  <c r="AD34" i="2"/>
  <c r="AD37" i="2" s="1"/>
  <c r="AE34" i="2"/>
  <c r="AE37" i="2" s="1"/>
  <c r="AF34" i="2"/>
  <c r="AF37" i="2" s="1"/>
  <c r="AG34" i="2"/>
  <c r="AG37" i="2" s="1"/>
  <c r="AF35" i="2"/>
  <c r="AC36" i="2"/>
  <c r="AD36" i="2"/>
  <c r="AE36" i="2"/>
  <c r="AF36" i="2"/>
  <c r="AG36" i="2"/>
  <c r="AC39" i="2"/>
  <c r="AD39" i="2"/>
  <c r="AE39" i="2"/>
  <c r="AF39" i="2"/>
  <c r="AG39" i="2"/>
  <c r="AC40" i="2"/>
  <c r="AD40" i="2"/>
  <c r="AE40" i="2"/>
  <c r="AF40" i="2"/>
  <c r="AG40" i="2"/>
  <c r="AC41" i="2"/>
  <c r="AD41" i="2"/>
  <c r="AE41" i="2"/>
  <c r="AF41" i="2"/>
  <c r="AG41" i="2"/>
  <c r="AF42" i="2"/>
  <c r="AC43" i="2"/>
  <c r="AD43" i="2"/>
  <c r="AE43" i="2"/>
  <c r="AF43" i="2"/>
  <c r="AG43" i="2"/>
  <c r="AC44" i="2"/>
  <c r="AD44" i="2"/>
  <c r="AE44" i="2"/>
  <c r="AF44" i="2"/>
  <c r="AG44" i="2"/>
  <c r="AC45" i="2"/>
  <c r="AD45" i="2"/>
  <c r="AE45" i="2"/>
  <c r="AF45" i="2"/>
  <c r="AG45" i="2"/>
  <c r="AC46" i="2"/>
  <c r="AD46" i="2"/>
  <c r="AE46" i="2"/>
  <c r="AF46" i="2"/>
  <c r="AG46" i="2"/>
  <c r="S33" i="2"/>
  <c r="T33" i="2"/>
  <c r="U33" i="2"/>
  <c r="W33" i="2"/>
  <c r="X33" i="2"/>
  <c r="Y33" i="2"/>
  <c r="Z33" i="2"/>
  <c r="AA33" i="2"/>
  <c r="AB33" i="2"/>
  <c r="S34" i="2"/>
  <c r="S37" i="2" s="1"/>
  <c r="T34" i="2"/>
  <c r="T37" i="2" s="1"/>
  <c r="U34" i="2"/>
  <c r="U37" i="2" s="1"/>
  <c r="W34" i="2"/>
  <c r="W37" i="2" s="1"/>
  <c r="X34" i="2"/>
  <c r="X37" i="2" s="1"/>
  <c r="Y34" i="2"/>
  <c r="Y37" i="2" s="1"/>
  <c r="Z34" i="2"/>
  <c r="Z37" i="2" s="1"/>
  <c r="AB34" i="2"/>
  <c r="AB37" i="2" s="1"/>
  <c r="S35" i="2"/>
  <c r="S36" i="2"/>
  <c r="T36" i="2"/>
  <c r="U36" i="2"/>
  <c r="W36" i="2"/>
  <c r="X36" i="2"/>
  <c r="Y36" i="2"/>
  <c r="Z36" i="2"/>
  <c r="AB36" i="2"/>
  <c r="S39" i="2"/>
  <c r="T39" i="2"/>
  <c r="U39" i="2"/>
  <c r="W39" i="2"/>
  <c r="X39" i="2"/>
  <c r="Y39" i="2"/>
  <c r="Z39" i="2"/>
  <c r="AA39" i="2"/>
  <c r="AB39" i="2"/>
  <c r="S40" i="2"/>
  <c r="T40" i="2"/>
  <c r="U40" i="2"/>
  <c r="W40" i="2"/>
  <c r="X40" i="2"/>
  <c r="Y40" i="2"/>
  <c r="AB40" i="2"/>
  <c r="S41" i="2"/>
  <c r="T41" i="2"/>
  <c r="U41" i="2"/>
  <c r="W41" i="2"/>
  <c r="X41" i="2"/>
  <c r="Y41" i="2"/>
  <c r="Z41" i="2"/>
  <c r="AA41" i="2"/>
  <c r="AB41" i="2"/>
  <c r="S42" i="2"/>
  <c r="S43" i="2"/>
  <c r="T43" i="2"/>
  <c r="U43" i="2"/>
  <c r="W43" i="2"/>
  <c r="X43" i="2"/>
  <c r="Y43" i="2"/>
  <c r="Z43" i="2"/>
  <c r="AA43" i="2"/>
  <c r="AB43" i="2"/>
  <c r="S44" i="2"/>
  <c r="T44" i="2"/>
  <c r="U44" i="2"/>
  <c r="W44" i="2"/>
  <c r="X44" i="2"/>
  <c r="Y44" i="2"/>
  <c r="Z44" i="2"/>
  <c r="AA44" i="2"/>
  <c r="AB44" i="2"/>
  <c r="S45" i="2"/>
  <c r="T45" i="2"/>
  <c r="U45" i="2"/>
  <c r="W45" i="2"/>
  <c r="X45" i="2"/>
  <c r="Y45" i="2"/>
  <c r="Z45" i="2"/>
  <c r="AA45" i="2"/>
  <c r="AB45" i="2"/>
  <c r="S46" i="2"/>
  <c r="T46" i="2"/>
  <c r="U46" i="2"/>
  <c r="W46" i="2"/>
  <c r="X46" i="2"/>
  <c r="Y46" i="2"/>
  <c r="Z46" i="2"/>
  <c r="AA46" i="2"/>
  <c r="AB46" i="2"/>
  <c r="Q33" i="2"/>
  <c r="R33" i="2"/>
  <c r="P34" i="2"/>
  <c r="P37" i="2" s="1"/>
  <c r="Q34" i="2"/>
  <c r="Q37" i="2" s="1"/>
  <c r="R34" i="2"/>
  <c r="R37" i="2" s="1"/>
  <c r="P36" i="2"/>
  <c r="Q36" i="2"/>
  <c r="R36" i="2"/>
  <c r="P39" i="2"/>
  <c r="Q39" i="2"/>
  <c r="R39" i="2"/>
  <c r="P40" i="2"/>
  <c r="Q40" i="2"/>
  <c r="R40" i="2"/>
  <c r="P41" i="2"/>
  <c r="Q41" i="2"/>
  <c r="R41" i="2"/>
  <c r="P43" i="2"/>
  <c r="Q43" i="2"/>
  <c r="R43" i="2"/>
  <c r="P44" i="2"/>
  <c r="Q44" i="2"/>
  <c r="R44" i="2"/>
  <c r="P45" i="2"/>
  <c r="Q45" i="2"/>
  <c r="R45" i="2"/>
  <c r="P46" i="2"/>
  <c r="Q46" i="2"/>
  <c r="R46" i="2"/>
  <c r="O33" i="2"/>
  <c r="O34" i="2"/>
  <c r="O37" i="2" s="1"/>
  <c r="O36" i="2"/>
  <c r="O39" i="2"/>
  <c r="O40" i="2"/>
  <c r="O41" i="2"/>
  <c r="O43" i="2"/>
  <c r="O44" i="2"/>
  <c r="O45" i="2"/>
  <c r="O46" i="2"/>
  <c r="N33" i="2"/>
  <c r="N39" i="2"/>
  <c r="N41" i="2"/>
  <c r="N43" i="2"/>
  <c r="N44" i="2"/>
  <c r="N45" i="2"/>
  <c r="N46" i="2"/>
  <c r="M33" i="2"/>
  <c r="M34" i="2"/>
  <c r="M37" i="2" s="1"/>
  <c r="M36" i="2"/>
  <c r="M39" i="2"/>
  <c r="M40" i="2"/>
  <c r="M41" i="2"/>
  <c r="M43" i="2"/>
  <c r="M44" i="2"/>
  <c r="M45" i="2"/>
  <c r="M46" i="2"/>
  <c r="L33" i="2"/>
  <c r="L34" i="2"/>
  <c r="L37" i="2" s="1"/>
  <c r="L36" i="2"/>
  <c r="L39" i="2"/>
  <c r="L40" i="2"/>
  <c r="L41" i="2"/>
  <c r="L43" i="2"/>
  <c r="L44" i="2"/>
  <c r="L45" i="2"/>
  <c r="L46" i="2"/>
  <c r="K33" i="2"/>
  <c r="K34" i="2"/>
  <c r="K37" i="2" s="1"/>
  <c r="K36" i="2"/>
  <c r="K39" i="2"/>
  <c r="K40" i="2"/>
  <c r="K41" i="2"/>
  <c r="K43" i="2"/>
  <c r="K44" i="2"/>
  <c r="K45" i="2"/>
  <c r="K46" i="2"/>
  <c r="J33" i="2"/>
  <c r="J34" i="2"/>
  <c r="J37" i="2" s="1"/>
  <c r="J35" i="2"/>
  <c r="J36" i="2"/>
  <c r="J39" i="2"/>
  <c r="J40" i="2"/>
  <c r="J41" i="2"/>
  <c r="J42" i="2"/>
  <c r="J43" i="2"/>
  <c r="J44" i="2"/>
  <c r="J45" i="2"/>
  <c r="J46" i="2"/>
  <c r="H33" i="2"/>
  <c r="H34" i="2"/>
  <c r="H37" i="2" s="1"/>
  <c r="H36" i="2"/>
  <c r="H39" i="2"/>
  <c r="H40" i="2"/>
  <c r="H41" i="2"/>
  <c r="H43" i="2"/>
  <c r="H44" i="2"/>
  <c r="H45" i="2"/>
  <c r="H46" i="2"/>
  <c r="G46" i="2"/>
  <c r="F46" i="2"/>
  <c r="G45" i="2"/>
  <c r="F45" i="2"/>
  <c r="G44" i="2"/>
  <c r="F44" i="2"/>
  <c r="G43" i="2"/>
  <c r="F43" i="2"/>
  <c r="G42" i="2"/>
  <c r="F42" i="2"/>
  <c r="G41" i="2"/>
  <c r="F41" i="2"/>
  <c r="G40" i="2"/>
  <c r="F40" i="2"/>
  <c r="G39" i="2"/>
  <c r="F39" i="2"/>
  <c r="G36" i="2"/>
  <c r="F36" i="2"/>
  <c r="G35" i="2"/>
  <c r="F35" i="2"/>
  <c r="G34" i="2"/>
  <c r="G37" i="2" s="1"/>
  <c r="F34" i="2"/>
  <c r="F37" i="2" s="1"/>
  <c r="G33" i="2"/>
  <c r="F33" i="2"/>
  <c r="E46" i="2"/>
  <c r="E45" i="2"/>
  <c r="E44" i="2"/>
  <c r="E43" i="2"/>
  <c r="E41" i="2"/>
  <c r="E40" i="2"/>
  <c r="E39" i="2"/>
  <c r="E36" i="2"/>
  <c r="E34" i="2"/>
  <c r="E37" i="2" s="1"/>
  <c r="E33" i="2"/>
  <c r="D33" i="2"/>
  <c r="D34" i="2"/>
  <c r="D37" i="2" s="1"/>
  <c r="D36" i="2"/>
  <c r="D39" i="2"/>
  <c r="D40" i="2"/>
  <c r="D41" i="2"/>
  <c r="D43" i="2"/>
  <c r="D44" i="2"/>
  <c r="D45" i="2"/>
  <c r="D46" i="2"/>
  <c r="AT17" i="6"/>
  <c r="AT22" i="6" s="1"/>
  <c r="AT26" i="6" s="1"/>
  <c r="BN17" i="2"/>
  <c r="BN40" i="2" s="1"/>
  <c r="BA17" i="2"/>
  <c r="BA34" i="2" s="1"/>
  <c r="BA37" i="2" s="1"/>
  <c r="AN17" i="2"/>
  <c r="AN34" i="2" s="1"/>
  <c r="AN37" i="2" s="1"/>
  <c r="AA17" i="2"/>
  <c r="AA34" i="2" s="1"/>
  <c r="AA37" i="2" s="1"/>
  <c r="N17" i="2"/>
  <c r="N40" i="2" s="1"/>
  <c r="W21" i="7"/>
  <c r="W31" i="7" s="1"/>
  <c r="X21" i="7"/>
  <c r="X31" i="7" s="1"/>
  <c r="Y21" i="7"/>
  <c r="Y31" i="7" s="1"/>
  <c r="Z21" i="7"/>
  <c r="Z31" i="7" s="1"/>
  <c r="V21" i="7"/>
  <c r="V31" i="7" s="1"/>
  <c r="AP17" i="6"/>
  <c r="AP24" i="6" s="1"/>
  <c r="AU17" i="6"/>
  <c r="AU22" i="6" s="1"/>
  <c r="AU26" i="6" s="1"/>
  <c r="AV17" i="6"/>
  <c r="AV22" i="6" s="1"/>
  <c r="AV26" i="6" s="1"/>
  <c r="AW17" i="6"/>
  <c r="AW22" i="6" s="1"/>
  <c r="AW26" i="6" s="1"/>
  <c r="AX17" i="6"/>
  <c r="AS17" i="6"/>
  <c r="AS25" i="6" s="1"/>
  <c r="BO13" i="2"/>
  <c r="BO35" i="2" s="1"/>
  <c r="BN13" i="2"/>
  <c r="BN42" i="2" s="1"/>
  <c r="BA13" i="2"/>
  <c r="AZ13" i="2"/>
  <c r="AZ35" i="2" s="1"/>
  <c r="W28" i="7" l="1"/>
  <c r="X28" i="7"/>
  <c r="V28" i="7"/>
  <c r="Z28" i="7"/>
  <c r="Y28" i="7"/>
  <c r="AV29" i="6"/>
  <c r="AU24" i="6"/>
  <c r="S22" i="6"/>
  <c r="R22" i="6"/>
  <c r="AW29" i="6"/>
  <c r="AH24" i="6"/>
  <c r="AU29" i="6"/>
  <c r="AT24" i="6"/>
  <c r="AS22" i="6"/>
  <c r="AS26" i="6" s="1"/>
  <c r="AP22" i="6"/>
  <c r="AP26" i="6" s="1"/>
  <c r="T22" i="6"/>
  <c r="M22" i="6"/>
  <c r="M26" i="6" s="1"/>
  <c r="M24" i="6"/>
  <c r="P24" i="6"/>
  <c r="P25" i="6"/>
  <c r="P29" i="6"/>
  <c r="AS29" i="6"/>
  <c r="AX24" i="6"/>
  <c r="AX22" i="6"/>
  <c r="AX26" i="6" s="1"/>
  <c r="O25" i="6"/>
  <c r="O29" i="6"/>
  <c r="O22" i="6"/>
  <c r="O26" i="6" s="1"/>
  <c r="N25" i="6"/>
  <c r="N29" i="6"/>
  <c r="N22" i="6"/>
  <c r="N26" i="6" s="1"/>
  <c r="AW24" i="6"/>
  <c r="AS24" i="6"/>
  <c r="AV24" i="6"/>
  <c r="O24" i="6"/>
  <c r="AX25" i="6"/>
  <c r="N24" i="6"/>
  <c r="AW25" i="6"/>
  <c r="AV25" i="6"/>
  <c r="M25" i="6"/>
  <c r="AX29" i="6"/>
  <c r="AT29" i="6"/>
  <c r="AP29" i="6"/>
  <c r="AI29" i="6"/>
  <c r="AI25" i="6"/>
  <c r="N36" i="2"/>
  <c r="BA35" i="2"/>
  <c r="BA42" i="2"/>
  <c r="AZ42" i="2"/>
  <c r="N34" i="2"/>
  <c r="N37" i="2" s="1"/>
  <c r="BO42" i="2"/>
  <c r="BA36" i="2"/>
  <c r="AN40" i="2"/>
  <c r="BA40" i="2"/>
  <c r="BN36" i="2"/>
  <c r="AA36" i="2"/>
  <c r="BN35" i="2"/>
  <c r="AN36" i="2"/>
  <c r="BN34" i="2"/>
  <c r="BN37" i="2" s="1"/>
  <c r="AA40" i="2"/>
  <c r="H17" i="1"/>
  <c r="BJ13" i="2"/>
  <c r="AW13" i="2"/>
  <c r="W13" i="2"/>
  <c r="C33" i="2"/>
  <c r="N17" i="7"/>
  <c r="N33" i="7" s="1"/>
  <c r="O17" i="7"/>
  <c r="O33" i="7" s="1"/>
  <c r="P17" i="7"/>
  <c r="P33" i="7" s="1"/>
  <c r="BF29" i="1"/>
  <c r="AS29" i="1"/>
  <c r="AF29" i="1"/>
  <c r="S29" i="1"/>
  <c r="F29" i="1"/>
  <c r="H32" i="1" l="1"/>
  <c r="H38" i="1"/>
  <c r="H45" i="1"/>
  <c r="H34" i="1"/>
  <c r="AW42" i="2"/>
  <c r="AW35" i="2"/>
  <c r="BJ42" i="2"/>
  <c r="BJ35" i="2"/>
  <c r="W42" i="2"/>
  <c r="W35" i="2"/>
  <c r="AF20" i="1"/>
  <c r="S20" i="1"/>
  <c r="S9" i="1"/>
  <c r="S8" i="1"/>
  <c r="S6" i="1"/>
  <c r="S40" i="1" l="1"/>
  <c r="S39" i="1"/>
  <c r="S41" i="1"/>
  <c r="S38" i="1"/>
  <c r="H44" i="1"/>
  <c r="H35" i="1"/>
  <c r="AV29" i="1"/>
  <c r="AI29" i="1"/>
  <c r="V29" i="1"/>
  <c r="I29" i="1"/>
  <c r="BI29" i="1"/>
  <c r="C29" i="1"/>
  <c r="C33" i="6" l="1"/>
  <c r="C32" i="6"/>
  <c r="C44" i="2"/>
  <c r="C34" i="6"/>
  <c r="C31" i="6"/>
  <c r="C29" i="6"/>
  <c r="C30" i="6"/>
  <c r="C28" i="6"/>
  <c r="C27" i="6"/>
  <c r="C36" i="2"/>
  <c r="C25" i="6"/>
  <c r="C24" i="6"/>
  <c r="C22" i="6"/>
  <c r="C26" i="6" s="1"/>
  <c r="C23" i="6"/>
  <c r="AE17" i="7" l="1"/>
  <c r="AE33" i="7" s="1"/>
  <c r="AD17" i="7"/>
  <c r="AD33" i="7" s="1"/>
  <c r="AC17" i="7"/>
  <c r="AC33" i="7" s="1"/>
  <c r="AB17" i="7"/>
  <c r="AB33" i="7" s="1"/>
  <c r="AA17" i="7"/>
  <c r="AA33" i="7" s="1"/>
  <c r="AR17" i="6"/>
  <c r="AQ17" i="6"/>
  <c r="AO17" i="6"/>
  <c r="AO14" i="6"/>
  <c r="AS9" i="6"/>
  <c r="AR9" i="6"/>
  <c r="AQ9" i="6"/>
  <c r="AP9" i="6"/>
  <c r="AO9" i="6"/>
  <c r="AS8" i="6"/>
  <c r="AR8" i="6"/>
  <c r="AQ8" i="6"/>
  <c r="AP8" i="6"/>
  <c r="AO8" i="6"/>
  <c r="AI20" i="6"/>
  <c r="AH20" i="6"/>
  <c r="AG20" i="6"/>
  <c r="AF20" i="6"/>
  <c r="AE20" i="6"/>
  <c r="AI9" i="6"/>
  <c r="AH9" i="6"/>
  <c r="AG9" i="6"/>
  <c r="AF9" i="6"/>
  <c r="AE9" i="6"/>
  <c r="AI8" i="6"/>
  <c r="AH8" i="6"/>
  <c r="AG8" i="6"/>
  <c r="AF8" i="6"/>
  <c r="AE8" i="6"/>
  <c r="U25" i="7"/>
  <c r="U35" i="7" s="1"/>
  <c r="T25" i="7"/>
  <c r="T35" i="7" s="1"/>
  <c r="U21" i="7"/>
  <c r="U31" i="7" s="1"/>
  <c r="T21" i="7"/>
  <c r="T31" i="7" s="1"/>
  <c r="S21" i="7"/>
  <c r="S31" i="7" s="1"/>
  <c r="R21" i="7"/>
  <c r="R31" i="7" s="1"/>
  <c r="Q31" i="7"/>
  <c r="U13" i="7"/>
  <c r="T13" i="7"/>
  <c r="S13" i="7"/>
  <c r="R13" i="7"/>
  <c r="Q13" i="7"/>
  <c r="AD17" i="6"/>
  <c r="AC17" i="6"/>
  <c r="AB17" i="6"/>
  <c r="AA17" i="6"/>
  <c r="Z17" i="6"/>
  <c r="AD9" i="6"/>
  <c r="AC9" i="6"/>
  <c r="AB9" i="6"/>
  <c r="AA9" i="6"/>
  <c r="Z9" i="6"/>
  <c r="AD8" i="6"/>
  <c r="AC8" i="6"/>
  <c r="AB8" i="6"/>
  <c r="AA8" i="6"/>
  <c r="Z8" i="6"/>
  <c r="M13" i="7"/>
  <c r="N13" i="7"/>
  <c r="O13" i="7"/>
  <c r="P13" i="7"/>
  <c r="Y9" i="6"/>
  <c r="X9" i="6"/>
  <c r="W9" i="6"/>
  <c r="V9" i="6"/>
  <c r="I13" i="6"/>
  <c r="J13" i="6"/>
  <c r="K13" i="6"/>
  <c r="L13" i="6"/>
  <c r="H13" i="6"/>
  <c r="C13" i="7"/>
  <c r="D13" i="7"/>
  <c r="E13" i="7"/>
  <c r="F13" i="7"/>
  <c r="G13" i="7"/>
  <c r="L9" i="6"/>
  <c r="K9" i="6"/>
  <c r="J9" i="6"/>
  <c r="I9" i="6"/>
  <c r="H9" i="6"/>
  <c r="M28" i="4"/>
  <c r="F23" i="4"/>
  <c r="J23" i="4"/>
  <c r="K23" i="4"/>
  <c r="P23" i="4"/>
  <c r="R23" i="4"/>
  <c r="D24" i="4"/>
  <c r="F24" i="4"/>
  <c r="G24" i="4"/>
  <c r="H24" i="4"/>
  <c r="I24" i="4"/>
  <c r="J24" i="4"/>
  <c r="K24" i="4"/>
  <c r="L24" i="4"/>
  <c r="M24" i="4"/>
  <c r="N24" i="4"/>
  <c r="O24" i="4"/>
  <c r="P24" i="4"/>
  <c r="Q24" i="4"/>
  <c r="R24" i="4"/>
  <c r="S24" i="4"/>
  <c r="T24" i="4"/>
  <c r="U24" i="4"/>
  <c r="V24" i="4"/>
  <c r="H25" i="4"/>
  <c r="D27" i="4"/>
  <c r="F27" i="4"/>
  <c r="G27" i="4"/>
  <c r="H27" i="4"/>
  <c r="I27" i="4"/>
  <c r="J27" i="4"/>
  <c r="K27" i="4"/>
  <c r="L27" i="4"/>
  <c r="M27" i="4"/>
  <c r="N27" i="4"/>
  <c r="O27" i="4"/>
  <c r="P27" i="4"/>
  <c r="Q27" i="4"/>
  <c r="R27" i="4"/>
  <c r="S27" i="4"/>
  <c r="T27" i="4"/>
  <c r="U27" i="4"/>
  <c r="V27" i="4"/>
  <c r="D28" i="4"/>
  <c r="F28" i="4"/>
  <c r="G28" i="4"/>
  <c r="H28" i="4"/>
  <c r="I28" i="4"/>
  <c r="J28" i="4"/>
  <c r="K28" i="4"/>
  <c r="L28" i="4"/>
  <c r="N28" i="4"/>
  <c r="O28" i="4"/>
  <c r="P28" i="4"/>
  <c r="Q28" i="4"/>
  <c r="R28" i="4"/>
  <c r="S28" i="4"/>
  <c r="T28" i="4"/>
  <c r="U28" i="4"/>
  <c r="V28" i="4"/>
  <c r="D29" i="4"/>
  <c r="F29" i="4"/>
  <c r="G29" i="4"/>
  <c r="H29" i="4"/>
  <c r="I29" i="4"/>
  <c r="J29" i="4"/>
  <c r="K29" i="4"/>
  <c r="L29" i="4"/>
  <c r="M29" i="4"/>
  <c r="N29" i="4"/>
  <c r="O29" i="4"/>
  <c r="P29" i="4"/>
  <c r="Q29" i="4"/>
  <c r="R29" i="4"/>
  <c r="S29" i="4"/>
  <c r="T29" i="4"/>
  <c r="U29" i="4"/>
  <c r="V29" i="4"/>
  <c r="D30" i="4"/>
  <c r="F30" i="4"/>
  <c r="G30" i="4"/>
  <c r="H30" i="4"/>
  <c r="I30" i="4"/>
  <c r="J30" i="4"/>
  <c r="K30" i="4"/>
  <c r="L30" i="4"/>
  <c r="M30" i="4"/>
  <c r="N30" i="4"/>
  <c r="O30" i="4"/>
  <c r="P30" i="4"/>
  <c r="Q30" i="4"/>
  <c r="R30" i="4"/>
  <c r="S30" i="4"/>
  <c r="T30" i="4"/>
  <c r="U30" i="4"/>
  <c r="V30" i="4"/>
  <c r="P31" i="4"/>
  <c r="C30" i="4"/>
  <c r="C29" i="4"/>
  <c r="C28" i="4"/>
  <c r="C27" i="4"/>
  <c r="C24" i="4"/>
  <c r="C23" i="4"/>
  <c r="D13" i="4"/>
  <c r="D31" i="4" s="1"/>
  <c r="E13" i="4"/>
  <c r="F13" i="4"/>
  <c r="F31" i="4" s="1"/>
  <c r="G13" i="4"/>
  <c r="G31" i="4" s="1"/>
  <c r="H13" i="4"/>
  <c r="H31" i="4" s="1"/>
  <c r="I13" i="4"/>
  <c r="I31" i="4" s="1"/>
  <c r="J13" i="4"/>
  <c r="J31" i="4" s="1"/>
  <c r="K13" i="4"/>
  <c r="K31" i="4" s="1"/>
  <c r="L13" i="4"/>
  <c r="L23" i="4" s="1"/>
  <c r="M31" i="4"/>
  <c r="N13" i="4"/>
  <c r="N23" i="4" s="1"/>
  <c r="O13" i="4"/>
  <c r="O23" i="4" s="1"/>
  <c r="P13" i="4"/>
  <c r="Q13" i="4"/>
  <c r="Q31" i="4" s="1"/>
  <c r="R13" i="4"/>
  <c r="R31" i="4" s="1"/>
  <c r="S13" i="4"/>
  <c r="S31" i="4" s="1"/>
  <c r="T13" i="4"/>
  <c r="T31" i="4" s="1"/>
  <c r="U13" i="4"/>
  <c r="U31" i="4" s="1"/>
  <c r="V13" i="4"/>
  <c r="V31" i="4" s="1"/>
  <c r="C13" i="4"/>
  <c r="C31" i="4" s="1"/>
  <c r="D22" i="4"/>
  <c r="D25" i="4" s="1"/>
  <c r="F22" i="4"/>
  <c r="F25" i="4" s="1"/>
  <c r="G22" i="4"/>
  <c r="G25" i="4" s="1"/>
  <c r="H22" i="4"/>
  <c r="I22" i="4"/>
  <c r="I25" i="4" s="1"/>
  <c r="J22" i="4"/>
  <c r="J25" i="4" s="1"/>
  <c r="K22" i="4"/>
  <c r="K25" i="4" s="1"/>
  <c r="L22" i="4"/>
  <c r="L25" i="4" s="1"/>
  <c r="M22" i="4"/>
  <c r="M25" i="4" s="1"/>
  <c r="N22" i="4"/>
  <c r="N25" i="4" s="1"/>
  <c r="O22" i="4"/>
  <c r="O25" i="4" s="1"/>
  <c r="P22" i="4"/>
  <c r="P25" i="4" s="1"/>
  <c r="Q22" i="4"/>
  <c r="Q25" i="4" s="1"/>
  <c r="R22" i="4"/>
  <c r="R25" i="4" s="1"/>
  <c r="S22" i="4"/>
  <c r="S25" i="4" s="1"/>
  <c r="T22" i="4"/>
  <c r="T25" i="4" s="1"/>
  <c r="U22" i="4"/>
  <c r="U25" i="4" s="1"/>
  <c r="V22" i="4"/>
  <c r="V25" i="4" s="1"/>
  <c r="C22" i="4"/>
  <c r="C25" i="4" s="1"/>
  <c r="C21" i="4"/>
  <c r="D21" i="4"/>
  <c r="F21" i="4"/>
  <c r="H21" i="4"/>
  <c r="I21" i="4"/>
  <c r="J21" i="4"/>
  <c r="K21" i="4"/>
  <c r="L21" i="4"/>
  <c r="M21" i="4"/>
  <c r="N21" i="4"/>
  <c r="O21" i="4"/>
  <c r="P21" i="4"/>
  <c r="Q21" i="4"/>
  <c r="R21" i="4"/>
  <c r="S21" i="4"/>
  <c r="T21" i="4"/>
  <c r="U21" i="4"/>
  <c r="V21" i="4"/>
  <c r="G21" i="4"/>
  <c r="T34" i="7" l="1"/>
  <c r="T36" i="7"/>
  <c r="Q28" i="7"/>
  <c r="R28" i="7"/>
  <c r="S28" i="7"/>
  <c r="T28" i="7"/>
  <c r="U36" i="7"/>
  <c r="U34" i="7"/>
  <c r="U28" i="7"/>
  <c r="K31" i="6"/>
  <c r="AC24" i="6"/>
  <c r="AC25" i="6"/>
  <c r="AC29" i="6"/>
  <c r="AC22" i="6"/>
  <c r="AC26" i="6" s="1"/>
  <c r="J31" i="6"/>
  <c r="AD24" i="6"/>
  <c r="AD25" i="6"/>
  <c r="AD29" i="6"/>
  <c r="AD22" i="6"/>
  <c r="AD26" i="6" s="1"/>
  <c r="I31" i="6"/>
  <c r="AO28" i="6"/>
  <c r="AO25" i="6"/>
  <c r="AO30" i="6"/>
  <c r="AI32" i="6"/>
  <c r="AI33" i="6"/>
  <c r="AI34" i="6"/>
  <c r="AQ24" i="6"/>
  <c r="AQ29" i="6"/>
  <c r="AQ25" i="6"/>
  <c r="AQ22" i="6"/>
  <c r="AQ26" i="6" s="1"/>
  <c r="AR24" i="6"/>
  <c r="AR29" i="6"/>
  <c r="AR25" i="6"/>
  <c r="AR22" i="6"/>
  <c r="AR26" i="6" s="1"/>
  <c r="Z24" i="6"/>
  <c r="Z29" i="6"/>
  <c r="Z22" i="6"/>
  <c r="Z26" i="6" s="1"/>
  <c r="Z25" i="6"/>
  <c r="H31" i="6"/>
  <c r="AA24" i="6"/>
  <c r="AA29" i="6"/>
  <c r="AA22" i="6"/>
  <c r="AA26" i="6" s="1"/>
  <c r="AA25" i="6"/>
  <c r="AE32" i="6"/>
  <c r="AE33" i="6"/>
  <c r="AE34" i="6"/>
  <c r="AF32" i="6"/>
  <c r="AF33" i="6"/>
  <c r="AG32" i="6"/>
  <c r="AG33" i="6"/>
  <c r="AG34" i="6"/>
  <c r="AH32" i="6"/>
  <c r="AH33" i="6"/>
  <c r="AH34" i="6"/>
  <c r="AO24" i="6"/>
  <c r="AO29" i="6"/>
  <c r="AO22" i="6"/>
  <c r="AO26" i="6" s="1"/>
  <c r="L31" i="6"/>
  <c r="AB24" i="6"/>
  <c r="AB29" i="6"/>
  <c r="AB22" i="6"/>
  <c r="AB26" i="6" s="1"/>
  <c r="AB25" i="6"/>
  <c r="H23" i="4"/>
  <c r="G23" i="4"/>
  <c r="I23" i="4"/>
  <c r="V23" i="4"/>
  <c r="D23" i="4"/>
  <c r="T23" i="4"/>
  <c r="U23" i="4"/>
  <c r="S23" i="4"/>
  <c r="O31" i="4"/>
  <c r="N31" i="4"/>
  <c r="L31" i="4"/>
  <c r="Q23" i="4"/>
  <c r="M23" i="4"/>
  <c r="Z17" i="1"/>
  <c r="C44" i="1"/>
  <c r="Z45" i="1" l="1"/>
  <c r="Z32" i="1"/>
  <c r="Z38" i="1"/>
  <c r="Z34" i="1"/>
  <c r="AN13" i="2"/>
  <c r="AO13" i="2"/>
  <c r="AB13" i="2"/>
  <c r="AA13" i="2"/>
  <c r="O13" i="2"/>
  <c r="N13" i="2"/>
  <c r="M13" i="2"/>
  <c r="Z35" i="1" l="1"/>
  <c r="Z44" i="1"/>
  <c r="M42" i="2"/>
  <c r="M35" i="2"/>
  <c r="O35" i="2"/>
  <c r="O42" i="2"/>
  <c r="AB42" i="2"/>
  <c r="AB35" i="2"/>
  <c r="AO35" i="2"/>
  <c r="AO42" i="2"/>
  <c r="N42" i="2"/>
  <c r="N35" i="2"/>
  <c r="AA42" i="2"/>
  <c r="AA35" i="2"/>
  <c r="AN35" i="2"/>
  <c r="AN42" i="2"/>
  <c r="BC13" i="1"/>
  <c r="BC33" i="1" l="1"/>
  <c r="BC40" i="1"/>
  <c r="BC43" i="1"/>
  <c r="C45" i="1"/>
  <c r="BO29" i="1"/>
  <c r="BB29" i="1"/>
  <c r="AO29" i="1"/>
  <c r="AB29" i="1"/>
  <c r="O29" i="1"/>
  <c r="BN29" i="1"/>
  <c r="BA29" i="1"/>
  <c r="AN29" i="1"/>
  <c r="AA29" i="1"/>
  <c r="N29" i="1"/>
  <c r="BM29" i="1"/>
  <c r="AZ29" i="1"/>
  <c r="AM29" i="1"/>
  <c r="Z29" i="1"/>
  <c r="M29" i="1"/>
  <c r="BL29" i="1"/>
  <c r="AY29" i="1"/>
  <c r="AL29" i="1"/>
  <c r="Y29" i="1"/>
  <c r="L29" i="1"/>
  <c r="BK29" i="1"/>
  <c r="AX29" i="1"/>
  <c r="AK29" i="1"/>
  <c r="X29" i="1"/>
  <c r="K29" i="1"/>
  <c r="AJ29" i="1"/>
  <c r="AW29" i="1"/>
  <c r="BJ29" i="1"/>
  <c r="W29" i="1"/>
  <c r="J29" i="1"/>
  <c r="BH29" i="1"/>
  <c r="AU29" i="1"/>
  <c r="AH29" i="1"/>
  <c r="BG29" i="1"/>
  <c r="AT29" i="1"/>
  <c r="AG29" i="1"/>
  <c r="U29" i="1"/>
  <c r="H29" i="1"/>
  <c r="T29" i="1"/>
  <c r="G29" i="1"/>
  <c r="BE29" i="1"/>
  <c r="AR29" i="1"/>
  <c r="AE29" i="1"/>
  <c r="R29" i="1"/>
  <c r="E29" i="1"/>
  <c r="BD29" i="1"/>
  <c r="AQ29" i="1"/>
  <c r="AD29" i="1"/>
  <c r="Q29" i="1"/>
  <c r="D29" i="1"/>
  <c r="BC29" i="1"/>
  <c r="AP29" i="1"/>
  <c r="AC29" i="1"/>
  <c r="P29" i="1"/>
  <c r="C42" i="1" l="1"/>
  <c r="C41" i="1"/>
  <c r="C31" i="1"/>
  <c r="C45" i="2" l="1"/>
  <c r="C39" i="1"/>
  <c r="C38" i="1"/>
  <c r="C37" i="1"/>
  <c r="C35" i="1"/>
  <c r="C34" i="2"/>
  <c r="C37" i="2" s="1"/>
  <c r="BG13" i="1"/>
  <c r="BH13" i="1"/>
  <c r="BL13" i="1"/>
  <c r="BM13" i="1"/>
  <c r="E13" i="1"/>
  <c r="G13" i="1"/>
  <c r="P13" i="1"/>
  <c r="R13" i="1"/>
  <c r="T13" i="1"/>
  <c r="U13" i="1"/>
  <c r="Z13" i="1"/>
  <c r="AC13" i="1"/>
  <c r="AE13" i="1"/>
  <c r="AG13" i="1"/>
  <c r="AH13" i="1"/>
  <c r="AM13" i="1"/>
  <c r="AP13" i="1"/>
  <c r="AR13" i="1"/>
  <c r="AT13" i="1"/>
  <c r="AU13" i="1"/>
  <c r="AZ13" i="1"/>
  <c r="BE13" i="1"/>
  <c r="C13" i="1"/>
  <c r="C33" i="1" s="1"/>
  <c r="C43" i="2"/>
  <c r="C41" i="2"/>
  <c r="C40" i="2"/>
  <c r="C39" i="2"/>
  <c r="AC13" i="2"/>
  <c r="AD13" i="2"/>
  <c r="AE13" i="2"/>
  <c r="AG13" i="2"/>
  <c r="AH13" i="2"/>
  <c r="AJ13" i="2"/>
  <c r="AK13" i="2"/>
  <c r="AL13" i="2"/>
  <c r="AM13" i="2"/>
  <c r="AP13" i="2"/>
  <c r="AQ13" i="2"/>
  <c r="AR13" i="2"/>
  <c r="AT13" i="2"/>
  <c r="AU13" i="2"/>
  <c r="AX13" i="2"/>
  <c r="AY13" i="2"/>
  <c r="BC13" i="2"/>
  <c r="BD13" i="2"/>
  <c r="BE13" i="2"/>
  <c r="BG13" i="2"/>
  <c r="BH13" i="2"/>
  <c r="BK13" i="2"/>
  <c r="BL13" i="2"/>
  <c r="BM13" i="2"/>
  <c r="D13" i="2"/>
  <c r="E13" i="2"/>
  <c r="H13" i="2"/>
  <c r="K13" i="2"/>
  <c r="L13" i="2"/>
  <c r="P13" i="2"/>
  <c r="P35" i="2" s="1"/>
  <c r="Q13" i="2"/>
  <c r="R13" i="2"/>
  <c r="T13" i="2"/>
  <c r="U13" i="2"/>
  <c r="X13" i="2"/>
  <c r="Y13" i="2"/>
  <c r="Z13" i="2"/>
  <c r="C13" i="2"/>
  <c r="U17" i="1"/>
  <c r="U9" i="1"/>
  <c r="U8" i="1"/>
  <c r="U7" i="1"/>
  <c r="U5" i="1"/>
  <c r="U37" i="1" s="1"/>
  <c r="R9" i="1"/>
  <c r="R8" i="1"/>
  <c r="Y20" i="1"/>
  <c r="L20" i="1"/>
  <c r="Y16" i="1"/>
  <c r="Y17" i="1" s="1"/>
  <c r="Y12" i="1"/>
  <c r="Y13" i="1" s="1"/>
  <c r="L17" i="1"/>
  <c r="L12" i="1"/>
  <c r="L10" i="1"/>
  <c r="H10" i="1"/>
  <c r="H9" i="1"/>
  <c r="H8" i="1"/>
  <c r="H7" i="1"/>
  <c r="H5" i="1"/>
  <c r="H37" i="1" s="1"/>
  <c r="E16" i="1"/>
  <c r="E14" i="1"/>
  <c r="E7" i="1"/>
  <c r="E4" i="1"/>
  <c r="AP33" i="1" l="1"/>
  <c r="AP40" i="1"/>
  <c r="AP43" i="1"/>
  <c r="Y43" i="1"/>
  <c r="Y33" i="1"/>
  <c r="Y40" i="1"/>
  <c r="BM40" i="1"/>
  <c r="BM33" i="1"/>
  <c r="BM43" i="1"/>
  <c r="E46" i="1"/>
  <c r="E42" i="1"/>
  <c r="AH33" i="1"/>
  <c r="AH43" i="1"/>
  <c r="AH40" i="1"/>
  <c r="BL40" i="1"/>
  <c r="BL33" i="1"/>
  <c r="BL43" i="1"/>
  <c r="AG33" i="1"/>
  <c r="AG40" i="1"/>
  <c r="AG43" i="1"/>
  <c r="AE40" i="1"/>
  <c r="AE33" i="1"/>
  <c r="AE43" i="1"/>
  <c r="BG43" i="1"/>
  <c r="BG33" i="1"/>
  <c r="BG40" i="1"/>
  <c r="AC40" i="1"/>
  <c r="AC43" i="1"/>
  <c r="AC33" i="1"/>
  <c r="U45" i="1"/>
  <c r="U38" i="1"/>
  <c r="U32" i="1"/>
  <c r="U34" i="1"/>
  <c r="AR33" i="1"/>
  <c r="AR40" i="1"/>
  <c r="AR43" i="1"/>
  <c r="L32" i="1"/>
  <c r="L38" i="1"/>
  <c r="L45" i="1"/>
  <c r="L34" i="1"/>
  <c r="E40" i="1"/>
  <c r="E33" i="1"/>
  <c r="E43" i="1"/>
  <c r="AM43" i="1"/>
  <c r="AM33" i="1"/>
  <c r="AM40" i="1"/>
  <c r="Y32" i="1"/>
  <c r="Y38" i="1"/>
  <c r="Y45" i="1"/>
  <c r="Y34" i="1"/>
  <c r="E34" i="1"/>
  <c r="E39" i="1"/>
  <c r="E32" i="1"/>
  <c r="BH43" i="1"/>
  <c r="BH33" i="1"/>
  <c r="BH40" i="1"/>
  <c r="H31" i="1"/>
  <c r="H46" i="1"/>
  <c r="H42" i="1"/>
  <c r="Z43" i="1"/>
  <c r="Z33" i="1"/>
  <c r="Z40" i="1"/>
  <c r="BE33" i="1"/>
  <c r="BE40" i="1"/>
  <c r="BE43" i="1"/>
  <c r="U33" i="1"/>
  <c r="U40" i="1"/>
  <c r="U43" i="1"/>
  <c r="U46" i="1"/>
  <c r="U31" i="1"/>
  <c r="U42" i="1"/>
  <c r="AZ40" i="1"/>
  <c r="AZ33" i="1"/>
  <c r="AZ43" i="1"/>
  <c r="T40" i="1"/>
  <c r="T33" i="1"/>
  <c r="T43" i="1"/>
  <c r="AU43" i="1"/>
  <c r="AU33" i="1"/>
  <c r="AU40" i="1"/>
  <c r="R33" i="1"/>
  <c r="R40" i="1"/>
  <c r="R43" i="1"/>
  <c r="AT33" i="1"/>
  <c r="AT43" i="1"/>
  <c r="AT40" i="1"/>
  <c r="P40" i="1"/>
  <c r="P43" i="1"/>
  <c r="P33" i="1"/>
  <c r="L13" i="1"/>
  <c r="H13" i="1"/>
  <c r="L35" i="2"/>
  <c r="L42" i="2"/>
  <c r="AH42" i="2"/>
  <c r="AH35" i="2"/>
  <c r="K42" i="2"/>
  <c r="K35" i="2"/>
  <c r="AG42" i="2"/>
  <c r="AG35" i="2"/>
  <c r="AX35" i="2"/>
  <c r="AX42" i="2"/>
  <c r="AU35" i="2"/>
  <c r="AU42" i="2"/>
  <c r="AD42" i="2"/>
  <c r="AD35" i="2"/>
  <c r="Z35" i="2"/>
  <c r="Z42" i="2"/>
  <c r="AT42" i="2"/>
  <c r="AT35" i="2"/>
  <c r="BL42" i="2"/>
  <c r="BL35" i="2"/>
  <c r="AQ35" i="2"/>
  <c r="AQ42" i="2"/>
  <c r="T35" i="2"/>
  <c r="T42" i="2"/>
  <c r="BH42" i="2"/>
  <c r="BH35" i="2"/>
  <c r="AM42" i="2"/>
  <c r="AM35" i="2"/>
  <c r="R42" i="2"/>
  <c r="R35" i="2"/>
  <c r="AL42" i="2"/>
  <c r="AL35" i="2"/>
  <c r="Q42" i="2"/>
  <c r="Q35" i="2"/>
  <c r="BE35" i="2"/>
  <c r="BE42" i="2"/>
  <c r="AK42" i="2"/>
  <c r="AK35" i="2"/>
  <c r="BC42" i="2"/>
  <c r="BC35" i="2"/>
  <c r="AY42" i="2"/>
  <c r="AY35" i="2"/>
  <c r="H42" i="2"/>
  <c r="H35" i="2"/>
  <c r="AE42" i="2"/>
  <c r="AE35" i="2"/>
  <c r="E35" i="2"/>
  <c r="E42" i="2"/>
  <c r="D35" i="2"/>
  <c r="D42" i="2"/>
  <c r="AC35" i="2"/>
  <c r="AC42" i="2"/>
  <c r="Y42" i="2"/>
  <c r="Y35" i="2"/>
  <c r="BM35" i="2"/>
  <c r="BM42" i="2"/>
  <c r="AR42" i="2"/>
  <c r="AR35" i="2"/>
  <c r="X42" i="2"/>
  <c r="X35" i="2"/>
  <c r="U35" i="2"/>
  <c r="U42" i="2"/>
  <c r="BK35" i="2"/>
  <c r="BK42" i="2"/>
  <c r="AP42" i="2"/>
  <c r="AP35" i="2"/>
  <c r="BG42" i="2"/>
  <c r="BG35" i="2"/>
  <c r="P42" i="2"/>
  <c r="BD42" i="2"/>
  <c r="BD35" i="2"/>
  <c r="AJ42" i="2"/>
  <c r="AJ35" i="2"/>
  <c r="C42" i="2"/>
  <c r="C35" i="2"/>
  <c r="C43" i="1"/>
  <c r="C40" i="1"/>
  <c r="Y44" i="1" l="1"/>
  <c r="Y35" i="1"/>
  <c r="U44" i="1"/>
  <c r="U35" i="1"/>
  <c r="H33" i="1"/>
  <c r="H40" i="1"/>
  <c r="H43" i="1"/>
  <c r="L43" i="1"/>
  <c r="L33" i="1"/>
  <c r="L40" i="1"/>
  <c r="E35" i="1"/>
  <c r="E44" i="1"/>
  <c r="L44" i="1"/>
  <c r="L3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tc={6B6A9FDB-D893-4C82-A2B1-E3E7764F6BDA}</author>
    <author>tc={A19E7B82-262C-4507-87E0-4A5339D7AB7A}</author>
    <author>tc={4410301E-9F47-4C5E-9D63-367715C50492}</author>
    <author>tc={06A5AE17-0B7C-4D41-898E-E16460DC2AD8}</author>
    <author>tc={7E0E58B2-E934-41DF-995B-FC634A0994E4}</author>
    <author>tc={F9D9F23A-47D6-4B16-86D3-F51B9CD70C87}</author>
    <author>tc={688884C0-9C77-4013-ACC1-826E296CAF41}</author>
    <author>tc={17216626-1F78-4653-9E09-DD8595642A4A}</author>
  </authors>
  <commentList>
    <comment ref="I3" authorId="0" shapeId="0" xr:uid="{6B6A9FDB-D893-4C82-A2B1-E3E7764F6BDA}">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V3" authorId="1" shapeId="0" xr:uid="{A19E7B82-262C-4507-87E0-4A5339D7AB7A}">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AI3" authorId="2" shapeId="0" xr:uid="{4410301E-9F47-4C5E-9D63-367715C50492}">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AV3" authorId="3" shapeId="0" xr:uid="{06A5AE17-0B7C-4D41-898E-E16460DC2AD8}">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BI3" authorId="4" shapeId="0" xr:uid="{7E0E58B2-E934-41DF-995B-FC634A0994E4}">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G4" authorId="5" shapeId="0" xr:uid="{F9D9F23A-47D6-4B16-86D3-F51B9CD70C87}">
      <text>
        <t>[Kommentartråd]
Din versjon av Excel lar deg lese denne kommentartråden. Eventuelle endringer i den vil imidlertid bli fjernet hvis filen åpnes i en nyere versjon av Excel. Finn ut mer: https://go.microsoft.com/fwlink/?linkid=870924
Kommentar:
    2019 tall for båt mangler</t>
      </text>
    </comment>
    <comment ref="BM4" authorId="6" shapeId="0" xr:uid="{688884C0-9C77-4013-ACC1-826E296CAF41}">
      <text>
        <t>[Kommentartråd]
Din versjon av Excel lar deg lese denne kommentartråden. Eventuelle endringer i den vil imidlertid bli fjernet hvis filen åpnes i en nyere versjon av Excel. Finn ut mer: https://go.microsoft.com/fwlink/?linkid=870924
Kommentar:
    Buss + båt</t>
      </text>
    </comment>
    <comment ref="N17" authorId="7" shapeId="0" xr:uid="{17216626-1F78-4653-9E09-DD8595642A4A}">
      <text>
        <t>[Kommentartråd]
Din versjon av Excel lar deg lese denne kommentartråden. Eventuelle endringer i den vil imidlertid bli fjernet hvis filen åpnes i en nyere versjon av Excel. Finn ut mer: https://go.microsoft.com/fwlink/?linkid=870924
Kommentar:
    Rapportert kun driftskostnader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tc={F10BDBC7-1EA5-44C6-BE1E-8E264E9547E5}</author>
    <author>tc={A80D2817-6A64-425B-885D-7B1088279D79}</author>
    <author>tc={0F2C3105-2D7F-4109-86E7-E606F61EC0C7}</author>
    <author>tc={D911A0CA-93B4-466F-9B4E-69E98C612DEC}</author>
    <author>tc={7AD4EB97-BE62-4FD7-95C9-C3046E848F7F}</author>
    <author>tc={980A291B-4EF3-4235-9291-B9235E9FA419}</author>
    <author>tc={DD8613F4-8F7C-4BF4-A877-6D0F2291964B}</author>
    <author>tc={EED7365F-06F2-4741-8B19-E1D7715D0C68}</author>
  </authors>
  <commentList>
    <comment ref="I3" authorId="0" shapeId="0" xr:uid="{F10BDBC7-1EA5-44C6-BE1E-8E264E9547E5}">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V3" authorId="1" shapeId="0" xr:uid="{A80D2817-6A64-425B-885D-7B1088279D79}">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AI3" authorId="2" shapeId="0" xr:uid="{0F2C3105-2D7F-4109-86E7-E606F61EC0C7}">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AV3" authorId="3" shapeId="0" xr:uid="{D911A0CA-93B4-466F-9B4E-69E98C612DEC}">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BI3" authorId="4" shapeId="0" xr:uid="{7AD4EB97-BE62-4FD7-95C9-C3046E848F7F}">
      <text>
        <t>[Kommentartråd]
Din versjon av Excel lar deg lese denne kommentartråden. Eventuelle endringer i den vil imidlertid bli fjernet hvis filen åpnes i en nyere versjon av Excel. Finn ut mer: https://go.microsoft.com/fwlink/?linkid=870924
Kommentar:
    (Økonomi inkluderer ferje)</t>
      </text>
    </comment>
    <comment ref="L10" authorId="5" shapeId="0" xr:uid="{980A291B-4EF3-4235-9291-B9235E9FA419}">
      <text>
        <t>[Kommentartråd]
Din versjon av Excel lar deg lese denne kommentartråden. Eventuelle endringer i den vil imidlertid bli fjernet hvis filen åpnes i en nyere versjon av Excel. Finn ut mer: https://go.microsoft.com/fwlink/?linkid=870924
Kommentar:
    Rapporterer samlet for båt og buss for hele serien</t>
      </text>
    </comment>
    <comment ref="N18" authorId="6" shapeId="0" xr:uid="{DD8613F4-8F7C-4BF4-A877-6D0F2291964B}">
      <text>
        <t>[Kommentartråd]
Din versjon av Excel lar deg lese denne kommentartråden. Eventuelle endringer i den vil imidlertid bli fjernet hvis filen åpnes i en nyere versjon av Excel. Finn ut mer: https://go.microsoft.com/fwlink/?linkid=870924
Kommentar:
    Ikke oppgitt for hele serien</t>
      </text>
    </comment>
    <comment ref="O18" authorId="7" shapeId="0" xr:uid="{EED7365F-06F2-4741-8B19-E1D7715D0C68}">
      <text>
        <t>[Kommentartråd]
Din versjon av Excel lar deg lese denne kommentartråden. Eventuelle endringer i den vil imidlertid bli fjernet hvis filen åpnes i en nyere versjon av Excel. Finn ut mer: https://go.microsoft.com/fwlink/?linkid=870924
Kommentar:
    Tall oppgitt på materiale er altfor store til å være riktig. Gjelder hele serien (2019-2023)</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Bjørnarå, Victoria</author>
  </authors>
  <commentList>
    <comment ref="AE9" authorId="0" shapeId="0" xr:uid="{DA3E61DA-DB24-43FF-A239-7BFF450D52C6}">
      <text>
        <r>
          <rPr>
            <b/>
            <sz val="9"/>
            <color indexed="81"/>
            <rFont val="Tahoma"/>
            <family val="2"/>
          </rPr>
          <t>Bjørnarå, Victoria:</t>
        </r>
        <r>
          <rPr>
            <sz val="9"/>
            <color indexed="81"/>
            <rFont val="Tahoma"/>
            <family val="2"/>
          </rPr>
          <t xml:space="preserve">
Beregnet 1,15*Rutekilometer</t>
        </r>
      </text>
    </comment>
    <comment ref="AF9" authorId="0" shapeId="0" xr:uid="{52F3507F-1E76-4AA8-AB1A-6514A45965FE}">
      <text>
        <r>
          <rPr>
            <b/>
            <sz val="9"/>
            <color indexed="81"/>
            <rFont val="Tahoma"/>
            <family val="2"/>
          </rPr>
          <t>Bjørnarå, Victoria:</t>
        </r>
        <r>
          <rPr>
            <sz val="9"/>
            <color indexed="81"/>
            <rFont val="Tahoma"/>
            <family val="2"/>
          </rPr>
          <t xml:space="preserve">
Beregnet 1,15*Rutekilometer</t>
        </r>
      </text>
    </comment>
    <comment ref="AG9" authorId="0" shapeId="0" xr:uid="{C9DE06A8-9852-4E73-9C44-A62EC5BD9EB2}">
      <text>
        <r>
          <rPr>
            <b/>
            <sz val="9"/>
            <color indexed="81"/>
            <rFont val="Tahoma"/>
            <family val="2"/>
          </rPr>
          <t>Bjørnarå, Victoria:</t>
        </r>
        <r>
          <rPr>
            <sz val="9"/>
            <color indexed="81"/>
            <rFont val="Tahoma"/>
            <family val="2"/>
          </rPr>
          <t xml:space="preserve">
Beregnet 1,15*Rutekilometer</t>
        </r>
      </text>
    </comment>
    <comment ref="AH9" authorId="0" shapeId="0" xr:uid="{54E8F161-9930-42BE-8BB8-D8CE04A0FB7F}">
      <text>
        <r>
          <rPr>
            <b/>
            <sz val="9"/>
            <color indexed="81"/>
            <rFont val="Tahoma"/>
            <family val="2"/>
          </rPr>
          <t>Bjørnarå, Victoria:</t>
        </r>
        <r>
          <rPr>
            <sz val="9"/>
            <color indexed="81"/>
            <rFont val="Tahoma"/>
            <family val="2"/>
          </rPr>
          <t xml:space="preserve">
Beregnet 1,15*Rutekilometer</t>
        </r>
      </text>
    </comment>
    <comment ref="AI9" authorId="0" shapeId="0" xr:uid="{E66735DF-FE6B-43F2-9EE0-FDEEE6C46452}">
      <text>
        <r>
          <rPr>
            <b/>
            <sz val="9"/>
            <color indexed="81"/>
            <rFont val="Tahoma"/>
            <family val="2"/>
          </rPr>
          <t>Bjørnarå, Victoria:</t>
        </r>
        <r>
          <rPr>
            <sz val="9"/>
            <color indexed="81"/>
            <rFont val="Tahoma"/>
            <family val="2"/>
          </rPr>
          <t xml:space="preserve">
Beregnet 1,15*Rutekilometer</t>
        </r>
      </text>
    </comment>
  </commentList>
</comments>
</file>

<file path=xl/sharedStrings.xml><?xml version="1.0" encoding="utf-8"?>
<sst xmlns="http://schemas.openxmlformats.org/spreadsheetml/2006/main" count="708" uniqueCount="217">
  <si>
    <t>#</t>
  </si>
  <si>
    <t>Variabel</t>
  </si>
  <si>
    <t>Ruter</t>
  </si>
  <si>
    <t>Finnmark</t>
  </si>
  <si>
    <t>Innlandet</t>
  </si>
  <si>
    <t>Vestfold og Telemark</t>
  </si>
  <si>
    <t>Brakar</t>
  </si>
  <si>
    <t>ATB</t>
  </si>
  <si>
    <t>Agder</t>
  </si>
  <si>
    <t>Troms</t>
  </si>
  <si>
    <t>Rutekilometer</t>
  </si>
  <si>
    <t>Setekilometer</t>
  </si>
  <si>
    <t>Påstigninger (reiser/delreiser)</t>
  </si>
  <si>
    <t>Passasjerkilometer</t>
  </si>
  <si>
    <t>Plasskilometer</t>
  </si>
  <si>
    <t>Vognkilometer</t>
  </si>
  <si>
    <t>Fylkeskommunale bevilgninger</t>
  </si>
  <si>
    <t>Statlige bevilgninger</t>
  </si>
  <si>
    <t>Andre bevilgninger</t>
  </si>
  <si>
    <t>Billettinntekter</t>
  </si>
  <si>
    <t>Driftskostnader</t>
  </si>
  <si>
    <t>Andre kostnader</t>
  </si>
  <si>
    <t>Totale kostnader</t>
  </si>
  <si>
    <t>Materiell</t>
  </si>
  <si>
    <t>CO2 utslipp</t>
  </si>
  <si>
    <t>Påstigende lukket skoleskyss</t>
  </si>
  <si>
    <t>Inntekter skoleskyss</t>
  </si>
  <si>
    <t>Skyssberettigede VGS</t>
  </si>
  <si>
    <t>Ukjent</t>
  </si>
  <si>
    <t>Total bevilgninger</t>
  </si>
  <si>
    <t>Ingen data</t>
  </si>
  <si>
    <t>-</t>
  </si>
  <si>
    <t>Ruter_Tbane</t>
  </si>
  <si>
    <t>Ruter_trikk</t>
  </si>
  <si>
    <t>Skyss_Bybane</t>
  </si>
  <si>
    <t>ATB_trikk</t>
  </si>
  <si>
    <t>Belegg (%) [passasjerKM/seteKM]</t>
  </si>
  <si>
    <t xml:space="preserve">Utlededetall </t>
  </si>
  <si>
    <t>Faktisk tilskudd (millioner kr)</t>
  </si>
  <si>
    <t xml:space="preserve">Tilskudd (%) </t>
  </si>
  <si>
    <t>Driftskostnader / innbygger (kr)</t>
  </si>
  <si>
    <t>Driftskostnader / setekm (kr)</t>
  </si>
  <si>
    <t>Totale kostnader / påstigninger  (kr)</t>
  </si>
  <si>
    <t>Billettinntekter / påstigninger (kr)</t>
  </si>
  <si>
    <t>Tilskudd / påstigninger (kr)</t>
  </si>
  <si>
    <t>Definisjon</t>
  </si>
  <si>
    <t>Netto tilskudd (millioner kr)</t>
  </si>
  <si>
    <t xml:space="preserve">Andel netto tilskudd (%) </t>
  </si>
  <si>
    <t>Andel billettinntekter (%)</t>
  </si>
  <si>
    <t>Billettinntekter / setekm (kr)</t>
  </si>
  <si>
    <t>Tonn CO2 per buss per år</t>
  </si>
  <si>
    <t>Tonn CO2 per 100 000 påstigning</t>
  </si>
  <si>
    <t>Tonn CO2 per  per 100 000 passasjerkm</t>
  </si>
  <si>
    <t>Tonn CO2  per 100 000 passasjerkm</t>
  </si>
  <si>
    <t>Tilskudd per innbygger</t>
  </si>
  <si>
    <t>Tilskudd delt på kollektivtraffikkens virkeområde</t>
  </si>
  <si>
    <t>Befolkning</t>
  </si>
  <si>
    <t>Areal (km2)</t>
  </si>
  <si>
    <t>Innbygger per km2</t>
  </si>
  <si>
    <t>Kontekstvariabler</t>
  </si>
  <si>
    <t>FRAM
Møre &amp;Romsdal</t>
  </si>
  <si>
    <t>Total kostnader per innbygger</t>
  </si>
  <si>
    <t>Transportarbeid per innbygger</t>
  </si>
  <si>
    <t>Passasjerkilometer per innbygger per år</t>
  </si>
  <si>
    <t>Tilskud per innbygger (kr)</t>
  </si>
  <si>
    <t>Faktisk tilskudd perinnbygger (kr)</t>
  </si>
  <si>
    <t>Fylkeskommunal bevilgninger</t>
  </si>
  <si>
    <t>Statlig bevilgninger</t>
  </si>
  <si>
    <t>Totale bevilgninger</t>
  </si>
  <si>
    <t>Nr.</t>
  </si>
  <si>
    <t>Variabler</t>
  </si>
  <si>
    <t>Påstigninger</t>
  </si>
  <si>
    <t>CO2</t>
  </si>
  <si>
    <t xml:space="preserve">Har ikke lett tilgjengelig tall på stå- og sitteplasser på ferje.  </t>
  </si>
  <si>
    <t xml:space="preserve">Agder </t>
  </si>
  <si>
    <t>Møre og Romsdal</t>
  </si>
  <si>
    <t>kg CO2 per rutekilometer</t>
  </si>
  <si>
    <t>Variable</t>
  </si>
  <si>
    <t>Kommentarer</t>
  </si>
  <si>
    <t>Krevende å hente tall på</t>
  </si>
  <si>
    <t>Antall kjøretøy (eks. MC)</t>
  </si>
  <si>
    <t>Antall PBE</t>
  </si>
  <si>
    <t>Antall passasjerer (inkl. fører)</t>
  </si>
  <si>
    <t>Material, Diesel</t>
  </si>
  <si>
    <t>Material, Batteri</t>
  </si>
  <si>
    <t>Skyss (oppdatert med nye tall)</t>
  </si>
  <si>
    <t>Materiell, diesel</t>
  </si>
  <si>
    <t>Materiell, batteri</t>
  </si>
  <si>
    <t>Materiell, total</t>
  </si>
  <si>
    <t>Materiell, Euro klasse V</t>
  </si>
  <si>
    <t>Materiell, Euro klasse VI</t>
  </si>
  <si>
    <t>Materiell, Hydrogen</t>
  </si>
  <si>
    <t>Materiell, Batterielektrisk</t>
  </si>
  <si>
    <t>Materiell, Gass</t>
  </si>
  <si>
    <t>Materiell, Biodiesel</t>
  </si>
  <si>
    <t>Materiell, HVO</t>
  </si>
  <si>
    <t>Materiell, Diesel</t>
  </si>
  <si>
    <t>Skyss_Bybane  (oppdatert med nye tall)</t>
  </si>
  <si>
    <t>Nordland</t>
  </si>
  <si>
    <t>Material, Total</t>
  </si>
  <si>
    <t xml:space="preserve">Rogaland (Kolombus) </t>
  </si>
  <si>
    <t>Rogaland (Kolombus)</t>
  </si>
  <si>
    <t xml:space="preserve">Euro IV </t>
  </si>
  <si>
    <t>Alt for store tall</t>
  </si>
  <si>
    <t>Ikke oppgitt</t>
  </si>
  <si>
    <t>Euro III</t>
  </si>
  <si>
    <t xml:space="preserve">Euro VI hybrid </t>
  </si>
  <si>
    <t>FINNMARK - FLEXX (Bestilllingstransport)</t>
  </si>
  <si>
    <t>Skoleskyss - lukketkjøp</t>
  </si>
  <si>
    <t>Faktisk tilskudd (kr)</t>
  </si>
  <si>
    <t xml:space="preserve">Inntekter skoleskyss / antall skyssberettigede i grunnskole (KOSTRA). </t>
  </si>
  <si>
    <t>Lukket skoleskyss (kr) / antall skyssberettigde – lukket skoleskyss (KOSTRA) (sum grunnskole og vgs).</t>
  </si>
  <si>
    <t>Antall skyssberettigede</t>
  </si>
  <si>
    <t>Kg CO2 per påstigning</t>
  </si>
  <si>
    <t>Billettinntekter / pass.km (kr)</t>
  </si>
  <si>
    <t>Tallene som er sammenstilt i dette arket er eksklusiv ferje dersom ikke annet er nevnt.</t>
  </si>
  <si>
    <t>Kategorier</t>
  </si>
  <si>
    <t xml:space="preserve">Antall rutekm per kalenderår (eksklusiv tomkjøring til og fra depot / garasjer). </t>
  </si>
  <si>
    <t>Antall setekm per kalenderår (eksklusiv tomkjøring til og fra depot/garasjer). Seter inkluderer alle fast monterte seter (inkludert nedfellbare seter). Setekm kan beregnes som følger: rutekm x antall seter</t>
  </si>
  <si>
    <t>Alle påstigninger som foretas i løpet av en reise, dvs. en reise som foregår med buss og båt. Bytte mellom to busser gir to påstigninger.</t>
  </si>
  <si>
    <t xml:space="preserve">Sum sitteplasser og ståplasser multiplisert med kjørelengde i rute (dvs. ekskl. posisjonskjøring og annen tomkjøring). Om ikke annen info er  tilgjengelig beregnes ståplasser som 3 personer per kvm. </t>
  </si>
  <si>
    <t>Kjørelengde i alt (dvs. inkl. posisjonskjøring og annen tomkjøring). Hvis ukjent kan vognkilometer beregnes som rutekilometer + 15%, skriv i så fall inn merknad.</t>
  </si>
  <si>
    <t>Fylkeskommunale bevilgninger til drift (ikke over investeringsbudsjettet).</t>
  </si>
  <si>
    <t xml:space="preserve">Statligbevilgninger til drift (ikke over investeringsbudsjettet), som statlige midler fra belønningsmidler (eks. byvekstavtaler osv.)  </t>
  </si>
  <si>
    <t>Andrebevilgninger til drift (ikke over investeringsbudsjettet), som bompenger som brukes til drift av kollektivtransport</t>
  </si>
  <si>
    <t>Alle ordinære kostnader knyttet til drift av kollektivtransporten, dvs. sum av administrasjonskostnader, driftsavhengige kostnader og kapitalkostnader. Utgår fra og med rapporteringsåret 2015.</t>
  </si>
  <si>
    <t xml:space="preserve">Antall påstigninger, slik at én elev én dag, normalt er to påstigninger. </t>
  </si>
  <si>
    <t>Skoleskyss</t>
  </si>
  <si>
    <t>Inntekter for skoleskyss, åpen og lukket (kjøp fra kommunene). Inntekter fra lukket skoleskyss skal inkludere inntekter fra all kommunalt kjøp av lukket skoleskyss, uavhengig av om det er fylkeskommunen eller kommunen som har skoleskyssansvaret for eleven.</t>
  </si>
  <si>
    <t>Skoleskyss - lukket, kjøp</t>
  </si>
  <si>
    <t xml:space="preserve"> 
Kroner brukt på lukket skoleskyss, per kalenderår. </t>
  </si>
  <si>
    <t xml:space="preserve">Antall skyssberettigede på videregående skole (VGS). </t>
  </si>
  <si>
    <r>
      <t>Totale kostnader per driftsart, evt. tilsvarende kostnader for drift i egen regi (alle beløp eks. mva.). Totale kostnader for administrasjonsselskapet skal være lik driftskostnader + andre kostnader. I løpende/nominelle kroner. 
[</t>
    </r>
    <r>
      <rPr>
        <i/>
        <sz val="11"/>
        <color theme="1"/>
        <rFont val="Calibri"/>
        <family val="2"/>
      </rPr>
      <t>N.B.: Driftskostnader inkluderer personalkostnader (inkludert trygdeavgifter og pensjoner), energiutgifter, kjøp av eksterne varer og tjenester (inkludert underleverandører), utgifter til vedlikehold av kjøretøy, diverse kostnader (f.eks. leie), finanskostnader, avskrivningsutgifter, skatter og avgifter. Ta ikke med spesielle vedlikeholds- eller investeringer for infrastruktur og kjøretøy, men snarere uttrykk for kostnadene knyttet til opprettelsen av offentlig transporttilbud.</t>
    </r>
    <r>
      <rPr>
        <sz val="11"/>
        <color theme="1"/>
        <rFont val="Calibri"/>
        <family val="2"/>
      </rPr>
      <t>]</t>
    </r>
  </si>
  <si>
    <t xml:space="preserve">Variabler og variabelbeskrivelser </t>
  </si>
  <si>
    <t>Produksjon, Ferge</t>
  </si>
  <si>
    <t xml:space="preserve">Faktisk tilskudd, (%) </t>
  </si>
  <si>
    <t xml:space="preserve">Tilskud som andel av total kostnad i prosent: (bevilget tilskudd + Belønningsmidler og/eller storbymidler) / (Totale kostnader = Driftskostnader + andre kostnader) </t>
  </si>
  <si>
    <t>Materiell, buss</t>
  </si>
  <si>
    <t>Materiell, båt</t>
  </si>
  <si>
    <t>Materiell, ferge</t>
  </si>
  <si>
    <t>Antall kjøretøy eks. MC</t>
  </si>
  <si>
    <t>Antall passasjerer inkl. fører</t>
  </si>
  <si>
    <t>Inntekt per kyssberetigede</t>
  </si>
  <si>
    <t>Lukketskolesys per skysberetigede</t>
  </si>
  <si>
    <t xml:space="preserve">Andel lukket skoleskyss: «Antall påstigende (lukket skoleskyss, i grunnskole og vgs)» / «antall skyssberettigde skoleskyss (totalt)». </t>
  </si>
  <si>
    <t>Andel lukket skoleskyss</t>
  </si>
  <si>
    <t>Driftskostnader per innbygger (kr): (driftskostnader / innbygger Kroner)</t>
  </si>
  <si>
    <t>Driftskostnader per setekilometer (kr): (driftskostnader / setekm Kroner)</t>
  </si>
  <si>
    <t>Billettinntekter per setekilometer (kr): (billettinntekter / setekilometer Kroner)</t>
  </si>
  <si>
    <t>Total kostnader delt på antall påstigninger (kr): (totale kostnader / påstigninger Kroner)</t>
  </si>
  <si>
    <t>Billettinntekter per påstigning  (kr): (billettinntekter / påstigninger)</t>
  </si>
  <si>
    <t>Tilskud per påstigning  (kr): (tilskudd / påstigninger Kroner)</t>
  </si>
  <si>
    <t>Tilskudd / påstigninger</t>
  </si>
  <si>
    <t>Billettinntekter / påstigninger</t>
  </si>
  <si>
    <t>Totale kostnader / påstigninger</t>
  </si>
  <si>
    <t>Billettinntekter / setekilometer</t>
  </si>
  <si>
    <t>Driftskostnader / setekm</t>
  </si>
  <si>
    <t>Driftskostnader / innbygger</t>
  </si>
  <si>
    <t>Finansiering av kollektivtransport som ikke er dekket med billettintekter (kr): (totale kostnader - billettinntekter)</t>
  </si>
  <si>
    <t xml:space="preserve">Tilskudd, (%) </t>
  </si>
  <si>
    <t>Faktisk tilskudd</t>
  </si>
  <si>
    <t>Produksjon</t>
  </si>
  <si>
    <t>Økonomi</t>
  </si>
  <si>
    <t>Miljø</t>
  </si>
  <si>
    <t>Buss</t>
  </si>
  <si>
    <t>Ferje</t>
  </si>
  <si>
    <t>3 a)</t>
  </si>
  <si>
    <t>3 b)</t>
  </si>
  <si>
    <t>3 c)</t>
  </si>
  <si>
    <t xml:space="preserve">Nr. </t>
  </si>
  <si>
    <t>Materiell (antall)</t>
  </si>
  <si>
    <t>Euro klasse V</t>
  </si>
  <si>
    <t>Euro klasse VI</t>
  </si>
  <si>
    <t>Hydrogen</t>
  </si>
  <si>
    <t>Batterielektrisk</t>
  </si>
  <si>
    <t>Gass</t>
  </si>
  <si>
    <t>Biodiesel</t>
  </si>
  <si>
    <t>ev.andre (legg til linje)</t>
  </si>
  <si>
    <t>Diesel</t>
  </si>
  <si>
    <t>Batteri</t>
  </si>
  <si>
    <t>Batteri (Swap)</t>
  </si>
  <si>
    <t>CO2 utslipp (tonn)</t>
  </si>
  <si>
    <t>Båt</t>
  </si>
  <si>
    <t>20XX</t>
  </si>
  <si>
    <t>Ferge</t>
  </si>
  <si>
    <t>Båt / hurtigbåt</t>
  </si>
  <si>
    <t>T-bane</t>
  </si>
  <si>
    <t>Trikk</t>
  </si>
  <si>
    <t>Bybane</t>
  </si>
  <si>
    <t>ØKONOMI, Kinnegåede bytransport</t>
  </si>
  <si>
    <t>ØKONOMI, Ferge</t>
  </si>
  <si>
    <t>MILJØDATA</t>
  </si>
  <si>
    <t>ØKONOMI, buss</t>
  </si>
  <si>
    <t>PRODUKSJON, buss</t>
  </si>
  <si>
    <t>ØKONOMI, Båt / hurtigbåt/passjerbåt</t>
  </si>
  <si>
    <t>PRODUKSJON, Ferje</t>
  </si>
  <si>
    <t>PRODUKSJON, Hurtibåt /passasjerbåt</t>
  </si>
  <si>
    <t xml:space="preserve">Påstigende lukket skoleskyss </t>
  </si>
  <si>
    <t>Skyssberettigede - VGS</t>
  </si>
  <si>
    <t>SKOLESYSS</t>
  </si>
  <si>
    <t>PRODUKSJON, Kinnegåede bytransport</t>
  </si>
  <si>
    <t>Østfold</t>
  </si>
  <si>
    <t>Buskerud</t>
  </si>
  <si>
    <t>Rogaland</t>
  </si>
  <si>
    <t>Vestland</t>
  </si>
  <si>
    <t>Trøndelag</t>
  </si>
  <si>
    <t>Oslo og Akershus</t>
  </si>
  <si>
    <t xml:space="preserve">Faktisk tilskud som andel av total kostnader: (totale kostnader - billettinntekter) / Totale kostnader: (Driftskostnader + andre kostnader) </t>
  </si>
  <si>
    <t>Antall buss fordelt på drivlinje, og for buss, Euroklasse</t>
  </si>
  <si>
    <t>Antall båt fordelt på drivlinje</t>
  </si>
  <si>
    <t>Antall ferge fordelt på drivlinje</t>
  </si>
  <si>
    <t>CO2 utslip per transportmiddel (Buss, båt og ferge)Definisjon: Fylkeskommunenes egen beregning av utslipp i C02 – ekvivalenter, for kollektivtransporten</t>
  </si>
  <si>
    <t>Antall personbilenheter</t>
  </si>
  <si>
    <t>Utledet variabel</t>
  </si>
  <si>
    <t>Antall påstigninger ganger reiselengde. Denne rapporteres per transportmåte/transportmiddel (buss/båt/trikk/t-bane/tog). 
Gjerne beskriv kort hvordan passasjerkilometer er beregnet som merknad.</t>
  </si>
  <si>
    <t xml:space="preserve">Totale billettinntekter (eks. mva) for alle billettslag som er gyldig i det geografiske området i kalenderåret som administrasjons-selskapet (eller tilsvarende) har ansvar for. Billettinntekter for reiser med egne billettslag på tog skal også inkluderes. Kommunalt kjøp av skoleskyss skal også inkluderes i billettinntekter. Sykler og barnevog inkluderes. Øvrig gods inkluderes ikke. </t>
  </si>
  <si>
    <t>Alle andre kostnader utover det som betales operatørene (eks. mva). Dersom man betaler togoperatøren en kompensasjon for takstdifferensen mellom egne og togoperatørens takster, skal disse legges til her. Løpende/nominelle kroner.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</si>
</sst>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_ * #,##0_ ;_ * \-#,##0_ ;_ * &quot;-&quot;??_ ;_ @_ "/>
    <numFmt numFmtId="166" formatCode="0.0"/>
    <numFmt numFmtId="167" formatCode="#,##0.0"/>
    <numFmt numFmtId="168" formatCode="0.0000000"/>
  </numFmts>
  <fonts count="30" x14ac:knownFonts="1">
    <font>
      <sz val="11"/>
      <color theme="1"/>
      <name val="Garamond"/>
      <family val="2"/>
      <scheme val="minor"/>
    </font>
    <font>
      <sz val="11"/>
      <color theme="1"/>
      <name val="Garamond"/>
      <family val="2"/>
      <scheme val="minor"/>
    </font>
    <font>
      <b/>
      <sz val="9"/>
      <color theme="1"/>
      <name val="Garamond"/>
      <family val="2"/>
      <scheme val="minor"/>
    </font>
    <font>
      <sz val="9"/>
      <color theme="1"/>
      <name val="Garamond"/>
      <family val="2"/>
      <scheme val="minor"/>
    </font>
    <font>
      <b/>
      <sz val="9"/>
      <color theme="1"/>
      <name val="Calibri"/>
      <family val="2"/>
    </font>
    <font>
      <sz val="9"/>
      <color theme="1"/>
      <name val="Calibri"/>
      <family val="2"/>
    </font>
    <font>
      <sz val="9"/>
      <color rgb="FF000000"/>
      <name val="Calibri"/>
      <family val="2"/>
    </font>
    <font>
      <sz val="9"/>
      <name val="Calibri"/>
      <family val="2"/>
    </font>
    <font>
      <sz val="10"/>
      <color theme="1"/>
      <name val="Calibri"/>
      <family val="2"/>
    </font>
    <font>
      <sz val="9"/>
      <color rgb="FFFF0000"/>
      <name val="Calibri"/>
      <family val="2"/>
    </font>
    <font>
      <u/>
      <sz val="11"/>
      <color theme="10"/>
      <name val="Garamond"/>
      <family val="2"/>
      <scheme val="minor"/>
    </font>
    <font>
      <sz val="11"/>
      <color theme="1"/>
      <name val="Calibri"/>
      <family val="2"/>
    </font>
    <font>
      <b/>
      <sz val="11"/>
      <color theme="1"/>
      <name val="Calibri"/>
      <family val="2"/>
    </font>
    <font>
      <i/>
      <sz val="9"/>
      <color theme="1"/>
      <name val="Calibri"/>
      <family val="2"/>
    </font>
    <font>
      <b/>
      <sz val="9"/>
      <color indexed="81"/>
      <name val="Tahoma"/>
      <family val="2"/>
    </font>
    <font>
      <sz val="9"/>
      <color indexed="81"/>
      <name val="Tahoma"/>
      <family val="2"/>
    </font>
    <font>
      <b/>
      <sz val="9"/>
      <name val="Calibri"/>
      <family val="2"/>
    </font>
    <font>
      <b/>
      <sz val="9"/>
      <color rgb="FF000000"/>
      <name val="Calibri"/>
      <family val="2"/>
    </font>
    <font>
      <sz val="11"/>
      <color rgb="FF006100"/>
      <name val="Garamond"/>
      <family val="2"/>
      <scheme val="minor"/>
    </font>
    <font>
      <b/>
      <sz val="10"/>
      <color theme="1"/>
      <name val="Calibri"/>
      <family val="2"/>
    </font>
    <font>
      <sz val="11"/>
      <color theme="1"/>
      <name val="Aptos"/>
      <family val="2"/>
    </font>
    <font>
      <sz val="11"/>
      <color rgb="FF000000"/>
      <name val="Calibri"/>
      <family val="2"/>
    </font>
    <font>
      <i/>
      <sz val="11"/>
      <color theme="1"/>
      <name val="Calibri"/>
      <family val="2"/>
    </font>
    <font>
      <sz val="11"/>
      <color rgb="FF162327"/>
      <name val="Calibri"/>
      <family val="2"/>
    </font>
    <font>
      <sz val="11"/>
      <name val="Calibri"/>
      <family val="2"/>
    </font>
    <font>
      <b/>
      <sz val="16"/>
      <color theme="1"/>
      <name val="Calibri"/>
      <family val="2"/>
    </font>
    <font>
      <b/>
      <i/>
      <sz val="9"/>
      <color rgb="FF000000"/>
      <name val="Calibri"/>
      <family val="2"/>
    </font>
    <font>
      <sz val="10"/>
      <name val="Calibri"/>
      <family val="2"/>
    </font>
    <font>
      <b/>
      <sz val="14"/>
      <color theme="1"/>
      <name val="Calibri"/>
      <family val="2"/>
    </font>
    <font>
      <sz val="9"/>
      <color rgb="FF006100"/>
      <name val="Calibri"/>
      <family val="2"/>
    </font>
  </fonts>
  <fills count="13">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theme="4" tint="0.79998168889431442"/>
        <bgColor indexed="65"/>
      </patternFill>
    </fill>
    <fill>
      <patternFill patternType="solid">
        <fgColor theme="8" tint="0.59999389629810485"/>
        <bgColor indexed="65"/>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rgb="FFAFEC34"/>
        <bgColor indexed="64"/>
      </patternFill>
    </fill>
    <fill>
      <patternFill patternType="solid">
        <fgColor rgb="FFE5A9E1"/>
        <bgColor indexed="64"/>
      </patternFill>
    </fill>
    <fill>
      <patternFill patternType="solid">
        <fgColor theme="8" tint="0.59999389629810485"/>
        <bgColor indexed="64"/>
      </patternFill>
    </fill>
  </fills>
  <borders count="55">
    <border>
      <left/>
      <right/>
      <top/>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0" fontId="10" fillId="0" borderId="0" applyNumberFormat="0" applyFill="0" applyBorder="0" applyAlignment="0" applyProtection="0"/>
    <xf numFmtId="9" fontId="1" fillId="0" borderId="0" applyFont="0" applyFill="0" applyBorder="0" applyAlignment="0" applyProtection="0"/>
    <xf numFmtId="0" fontId="18"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cellStyleXfs>
  <cellXfs count="422">
    <xf numFmtId="0" fontId="0" fillId="0" borderId="0" xfId="0"/>
    <xf numFmtId="0" fontId="3" fillId="0" borderId="0" xfId="0" applyFont="1"/>
    <xf numFmtId="0" fontId="5" fillId="0" borderId="0" xfId="0" applyFont="1"/>
    <xf numFmtId="0" fontId="5" fillId="0" borderId="4" xfId="0" applyFont="1" applyBorder="1" applyAlignment="1">
      <alignment horizontal="left" wrapText="1"/>
    </xf>
    <xf numFmtId="3" fontId="5" fillId="0" borderId="0" xfId="0" applyNumberFormat="1" applyFont="1"/>
    <xf numFmtId="0" fontId="6" fillId="0" borderId="4" xfId="0" applyFont="1" applyBorder="1" applyAlignment="1">
      <alignment horizontal="left" vertical="center" wrapText="1"/>
    </xf>
    <xf numFmtId="0" fontId="6" fillId="0" borderId="4" xfId="0" applyFont="1" applyBorder="1" applyAlignment="1">
      <alignment horizontal="left" wrapText="1"/>
    </xf>
    <xf numFmtId="0" fontId="5" fillId="0" borderId="4" xfId="0" applyFont="1" applyBorder="1" applyAlignment="1">
      <alignment horizontal="left"/>
    </xf>
    <xf numFmtId="0" fontId="5" fillId="0" borderId="4" xfId="0" applyFont="1" applyBorder="1" applyAlignment="1">
      <alignment horizontal="left" vertical="center"/>
    </xf>
    <xf numFmtId="0" fontId="6" fillId="0" borderId="4" xfId="0" applyFont="1" applyBorder="1" applyAlignment="1">
      <alignment horizontal="left" vertical="center"/>
    </xf>
    <xf numFmtId="0" fontId="6" fillId="0" borderId="4" xfId="0" applyFont="1" applyBorder="1" applyAlignment="1">
      <alignment horizontal="left"/>
    </xf>
    <xf numFmtId="3" fontId="5" fillId="0" borderId="0" xfId="1" applyNumberFormat="1" applyFont="1" applyBorder="1"/>
    <xf numFmtId="3" fontId="5" fillId="0" borderId="0" xfId="1" applyNumberFormat="1" applyFont="1" applyFill="1" applyBorder="1"/>
    <xf numFmtId="3" fontId="5" fillId="0" borderId="4" xfId="0" applyNumberFormat="1" applyFont="1" applyBorder="1" applyAlignment="1">
      <alignment horizontal="left"/>
    </xf>
    <xf numFmtId="3" fontId="6" fillId="0" borderId="4" xfId="0" applyNumberFormat="1" applyFont="1" applyBorder="1" applyAlignment="1">
      <alignment horizontal="left" vertical="center"/>
    </xf>
    <xf numFmtId="3" fontId="6" fillId="0" borderId="4" xfId="0" applyNumberFormat="1" applyFont="1" applyBorder="1" applyAlignment="1">
      <alignment horizontal="left"/>
    </xf>
    <xf numFmtId="164" fontId="5" fillId="0" borderId="0" xfId="1" applyNumberFormat="1" applyFont="1" applyBorder="1"/>
    <xf numFmtId="3" fontId="9" fillId="0" borderId="0" xfId="0" applyNumberFormat="1" applyFont="1" applyAlignment="1">
      <alignment horizontal="right"/>
    </xf>
    <xf numFmtId="3" fontId="5" fillId="0" borderId="11" xfId="0" applyNumberFormat="1" applyFont="1" applyBorder="1"/>
    <xf numFmtId="3" fontId="5" fillId="0" borderId="0" xfId="0" applyNumberFormat="1" applyFont="1" applyAlignment="1">
      <alignment horizontal="left"/>
    </xf>
    <xf numFmtId="0" fontId="5" fillId="0" borderId="0" xfId="0" applyFont="1" applyAlignment="1">
      <alignment horizontal="left"/>
    </xf>
    <xf numFmtId="0" fontId="4" fillId="0" borderId="0" xfId="0" applyFont="1" applyAlignment="1">
      <alignment horizontal="left"/>
    </xf>
    <xf numFmtId="166" fontId="3" fillId="0" borderId="0" xfId="0" applyNumberFormat="1" applyFont="1"/>
    <xf numFmtId="3" fontId="4" fillId="0" borderId="0" xfId="0" applyNumberFormat="1" applyFont="1" applyAlignment="1">
      <alignment horizontal="left"/>
    </xf>
    <xf numFmtId="0" fontId="12" fillId="0" borderId="0" xfId="0" applyFont="1"/>
    <xf numFmtId="0" fontId="11" fillId="0" borderId="0" xfId="0" applyFont="1"/>
    <xf numFmtId="0" fontId="5" fillId="2" borderId="0" xfId="0" applyFont="1" applyFill="1"/>
    <xf numFmtId="0" fontId="5" fillId="2" borderId="0" xfId="0" applyFont="1" applyFill="1" applyAlignment="1">
      <alignment horizontal="left"/>
    </xf>
    <xf numFmtId="3" fontId="5" fillId="2" borderId="0" xfId="0" applyNumberFormat="1" applyFont="1" applyFill="1" applyAlignment="1">
      <alignment horizontal="left"/>
    </xf>
    <xf numFmtId="3" fontId="4" fillId="0" borderId="0" xfId="0" applyNumberFormat="1" applyFont="1"/>
    <xf numFmtId="3" fontId="5" fillId="0" borderId="4" xfId="0" applyNumberFormat="1" applyFont="1" applyBorder="1"/>
    <xf numFmtId="0" fontId="5" fillId="0" borderId="4" xfId="0" applyFont="1" applyBorder="1"/>
    <xf numFmtId="0" fontId="3" fillId="0" borderId="4" xfId="0" applyFont="1" applyBorder="1"/>
    <xf numFmtId="3" fontId="5" fillId="0" borderId="11" xfId="1" applyNumberFormat="1" applyFont="1" applyBorder="1"/>
    <xf numFmtId="3" fontId="5" fillId="0" borderId="0" xfId="0" applyNumberFormat="1" applyFont="1" applyAlignment="1">
      <alignment horizontal="right"/>
    </xf>
    <xf numFmtId="3" fontId="5" fillId="0" borderId="0" xfId="1" applyNumberFormat="1" applyFont="1" applyBorder="1" applyAlignment="1">
      <alignment horizontal="right"/>
    </xf>
    <xf numFmtId="164" fontId="5" fillId="0" borderId="0" xfId="1" applyNumberFormat="1" applyFont="1" applyBorder="1" applyAlignment="1">
      <alignment horizontal="right"/>
    </xf>
    <xf numFmtId="164" fontId="5" fillId="0" borderId="0" xfId="0" applyNumberFormat="1" applyFont="1" applyAlignment="1">
      <alignment horizontal="right" wrapText="1"/>
    </xf>
    <xf numFmtId="3" fontId="5" fillId="0" borderId="0" xfId="1" applyNumberFormat="1" applyFont="1" applyFill="1" applyBorder="1" applyAlignment="1">
      <alignment horizontal="right"/>
    </xf>
    <xf numFmtId="165" fontId="5" fillId="0" borderId="0" xfId="0" applyNumberFormat="1" applyFont="1" applyAlignment="1">
      <alignment horizontal="right"/>
    </xf>
    <xf numFmtId="3" fontId="5" fillId="0" borderId="4" xfId="0" applyNumberFormat="1" applyFont="1" applyBorder="1" applyAlignment="1">
      <alignment horizontal="right"/>
    </xf>
    <xf numFmtId="164" fontId="5" fillId="0" borderId="0" xfId="1" applyNumberFormat="1" applyFont="1" applyAlignment="1">
      <alignment horizontal="right"/>
    </xf>
    <xf numFmtId="3" fontId="7" fillId="0" borderId="0" xfId="0" applyNumberFormat="1" applyFont="1"/>
    <xf numFmtId="2" fontId="3" fillId="0" borderId="0" xfId="0" applyNumberFormat="1" applyFont="1"/>
    <xf numFmtId="3" fontId="8" fillId="0" borderId="0" xfId="1" applyNumberFormat="1" applyFont="1"/>
    <xf numFmtId="0" fontId="4" fillId="0" borderId="12" xfId="0" applyFont="1" applyBorder="1"/>
    <xf numFmtId="0" fontId="4" fillId="0" borderId="12" xfId="0" applyFont="1" applyBorder="1" applyAlignment="1">
      <alignment horizontal="left"/>
    </xf>
    <xf numFmtId="0" fontId="4" fillId="0" borderId="14" xfId="0" applyFont="1" applyBorder="1" applyAlignment="1">
      <alignment horizontal="left"/>
    </xf>
    <xf numFmtId="0" fontId="4" fillId="0" borderId="3" xfId="0" applyFont="1" applyBorder="1"/>
    <xf numFmtId="0" fontId="4" fillId="0" borderId="7" xfId="0" applyFont="1" applyBorder="1"/>
    <xf numFmtId="0" fontId="4" fillId="0" borderId="10" xfId="0" applyFont="1" applyBorder="1"/>
    <xf numFmtId="0" fontId="4" fillId="0" borderId="15" xfId="0" applyFont="1" applyBorder="1"/>
    <xf numFmtId="0" fontId="4" fillId="0" borderId="14" xfId="0" applyFont="1" applyBorder="1"/>
    <xf numFmtId="0" fontId="4" fillId="0" borderId="15" xfId="0" applyFont="1" applyBorder="1" applyAlignment="1">
      <alignment horizontal="left"/>
    </xf>
    <xf numFmtId="3" fontId="5" fillId="0" borderId="0" xfId="0" applyNumberFormat="1" applyFont="1" applyAlignment="1">
      <alignment wrapText="1"/>
    </xf>
    <xf numFmtId="3" fontId="5" fillId="0" borderId="4" xfId="1" applyNumberFormat="1" applyFont="1" applyBorder="1"/>
    <xf numFmtId="3" fontId="9" fillId="0" borderId="4" xfId="0" applyNumberFormat="1" applyFont="1" applyBorder="1" applyAlignment="1">
      <alignment horizontal="right"/>
    </xf>
    <xf numFmtId="3" fontId="5" fillId="0" borderId="4" xfId="0" applyNumberFormat="1" applyFont="1" applyBorder="1" applyAlignment="1">
      <alignment wrapText="1"/>
    </xf>
    <xf numFmtId="3" fontId="13" fillId="0" borderId="0" xfId="1" applyNumberFormat="1" applyFont="1" applyBorder="1"/>
    <xf numFmtId="3" fontId="13" fillId="0" borderId="4" xfId="1" applyNumberFormat="1" applyFont="1" applyBorder="1"/>
    <xf numFmtId="3" fontId="5" fillId="0" borderId="4" xfId="1" applyNumberFormat="1" applyFont="1" applyFill="1" applyBorder="1"/>
    <xf numFmtId="3" fontId="9" fillId="0" borderId="4" xfId="0" applyNumberFormat="1" applyFont="1" applyBorder="1"/>
    <xf numFmtId="3" fontId="6" fillId="0" borderId="4" xfId="0" applyNumberFormat="1" applyFont="1" applyBorder="1"/>
    <xf numFmtId="3" fontId="7" fillId="0" borderId="3" xfId="0" applyNumberFormat="1" applyFont="1" applyBorder="1"/>
    <xf numFmtId="3" fontId="7" fillId="0" borderId="3" xfId="0" applyNumberFormat="1" applyFont="1" applyBorder="1" applyAlignment="1">
      <alignment horizontal="left"/>
    </xf>
    <xf numFmtId="1" fontId="6" fillId="0" borderId="0" xfId="0" applyNumberFormat="1" applyFont="1"/>
    <xf numFmtId="0" fontId="4" fillId="0" borderId="12" xfId="0" applyFont="1" applyBorder="1" applyAlignment="1">
      <alignment horizontal="center" wrapText="1"/>
    </xf>
    <xf numFmtId="3" fontId="9" fillId="0" borderId="0" xfId="1" applyNumberFormat="1" applyFont="1" applyFill="1" applyBorder="1"/>
    <xf numFmtId="3" fontId="9" fillId="0" borderId="4" xfId="1" applyNumberFormat="1" applyFont="1" applyFill="1" applyBorder="1"/>
    <xf numFmtId="3" fontId="13" fillId="0" borderId="11" xfId="1" applyNumberFormat="1" applyFont="1" applyBorder="1"/>
    <xf numFmtId="3" fontId="7" fillId="0" borderId="4" xfId="0" applyNumberFormat="1" applyFont="1" applyBorder="1"/>
    <xf numFmtId="1" fontId="6" fillId="0" borderId="11" xfId="0" applyNumberFormat="1" applyFont="1" applyBorder="1"/>
    <xf numFmtId="1" fontId="6" fillId="0" borderId="4" xfId="0" applyNumberFormat="1" applyFont="1" applyBorder="1"/>
    <xf numFmtId="3" fontId="13" fillId="0" borderId="11" xfId="1" applyNumberFormat="1" applyFont="1" applyFill="1" applyBorder="1"/>
    <xf numFmtId="3" fontId="13" fillId="0" borderId="0" xfId="1" applyNumberFormat="1" applyFont="1" applyFill="1" applyBorder="1"/>
    <xf numFmtId="3" fontId="13" fillId="0" borderId="4" xfId="1" applyNumberFormat="1" applyFont="1" applyFill="1" applyBorder="1"/>
    <xf numFmtId="3" fontId="7" fillId="0" borderId="14" xfId="0" applyNumberFormat="1" applyFont="1" applyBorder="1" applyAlignment="1">
      <alignment horizontal="left"/>
    </xf>
    <xf numFmtId="3" fontId="5" fillId="0" borderId="4" xfId="1" applyNumberFormat="1" applyFont="1" applyFill="1" applyBorder="1" applyAlignment="1">
      <alignment horizontal="right"/>
    </xf>
    <xf numFmtId="3" fontId="5" fillId="0" borderId="11" xfId="1" applyNumberFormat="1" applyFont="1" applyBorder="1" applyAlignment="1">
      <alignment horizontal="left"/>
    </xf>
    <xf numFmtId="3" fontId="5" fillId="0" borderId="0" xfId="1" applyNumberFormat="1" applyFont="1" applyBorder="1" applyAlignment="1">
      <alignment horizontal="left"/>
    </xf>
    <xf numFmtId="3" fontId="5" fillId="0" borderId="4" xfId="1" applyNumberFormat="1" applyFont="1" applyBorder="1" applyAlignment="1">
      <alignment horizontal="left"/>
    </xf>
    <xf numFmtId="3" fontId="5" fillId="0" borderId="5" xfId="1" applyNumberFormat="1" applyFont="1" applyBorder="1" applyAlignment="1">
      <alignment horizontal="left"/>
    </xf>
    <xf numFmtId="3" fontId="6" fillId="0" borderId="0" xfId="0" applyNumberFormat="1" applyFont="1" applyAlignment="1">
      <alignment wrapText="1"/>
    </xf>
    <xf numFmtId="3" fontId="5" fillId="0" borderId="0" xfId="1" applyNumberFormat="1" applyFont="1"/>
    <xf numFmtId="3" fontId="6" fillId="0" borderId="0" xfId="0" applyNumberFormat="1" applyFont="1"/>
    <xf numFmtId="3" fontId="9" fillId="0" borderId="4" xfId="1" applyNumberFormat="1" applyFont="1" applyBorder="1"/>
    <xf numFmtId="3" fontId="5" fillId="0" borderId="18" xfId="1" applyNumberFormat="1" applyFont="1" applyBorder="1"/>
    <xf numFmtId="167" fontId="5" fillId="0" borderId="0" xfId="0" applyNumberFormat="1" applyFont="1"/>
    <xf numFmtId="167" fontId="5" fillId="0" borderId="0" xfId="3" applyNumberFormat="1" applyFont="1" applyBorder="1"/>
    <xf numFmtId="0" fontId="4" fillId="0" borderId="15" xfId="0" applyFont="1" applyBorder="1" applyAlignment="1">
      <alignment horizontal="right"/>
    </xf>
    <xf numFmtId="0" fontId="4" fillId="0" borderId="12" xfId="0" applyFont="1" applyBorder="1" applyAlignment="1">
      <alignment horizontal="right"/>
    </xf>
    <xf numFmtId="0" fontId="4" fillId="0" borderId="14" xfId="0" applyFont="1" applyBorder="1" applyAlignment="1">
      <alignment horizontal="right"/>
    </xf>
    <xf numFmtId="3" fontId="5" fillId="0" borderId="11" xfId="0" applyNumberFormat="1" applyFont="1" applyBorder="1" applyAlignment="1">
      <alignment horizontal="right"/>
    </xf>
    <xf numFmtId="3" fontId="5" fillId="0" borderId="11" xfId="1" applyNumberFormat="1" applyFont="1" applyFill="1" applyBorder="1" applyAlignment="1">
      <alignment horizontal="right"/>
    </xf>
    <xf numFmtId="167" fontId="5" fillId="0" borderId="0" xfId="3" applyNumberFormat="1" applyFont="1" applyBorder="1" applyAlignment="1">
      <alignment horizontal="right"/>
    </xf>
    <xf numFmtId="167" fontId="5" fillId="0" borderId="0" xfId="0" applyNumberFormat="1" applyFont="1" applyAlignment="1">
      <alignment horizontal="right"/>
    </xf>
    <xf numFmtId="3" fontId="7" fillId="0" borderId="3" xfId="0" applyNumberFormat="1" applyFont="1" applyBorder="1" applyAlignment="1">
      <alignment horizontal="right"/>
    </xf>
    <xf numFmtId="3" fontId="7" fillId="0" borderId="14" xfId="0" applyNumberFormat="1" applyFont="1" applyBorder="1" applyAlignment="1">
      <alignment horizontal="right"/>
    </xf>
    <xf numFmtId="3" fontId="9" fillId="0" borderId="0" xfId="1" applyNumberFormat="1" applyFont="1" applyBorder="1"/>
    <xf numFmtId="3" fontId="5" fillId="0" borderId="19" xfId="1" applyNumberFormat="1" applyFont="1" applyBorder="1"/>
    <xf numFmtId="3" fontId="9" fillId="0" borderId="11" xfId="1" applyNumberFormat="1" applyFont="1" applyFill="1" applyBorder="1"/>
    <xf numFmtId="3" fontId="5" fillId="0" borderId="11" xfId="1" applyNumberFormat="1" applyFont="1" applyFill="1" applyBorder="1"/>
    <xf numFmtId="3" fontId="5" fillId="0" borderId="20" xfId="0" applyNumberFormat="1" applyFont="1" applyBorder="1"/>
    <xf numFmtId="3" fontId="5" fillId="0" borderId="19" xfId="0" applyNumberFormat="1" applyFont="1" applyBorder="1"/>
    <xf numFmtId="3" fontId="5" fillId="0" borderId="5" xfId="0" applyNumberFormat="1" applyFont="1" applyBorder="1"/>
    <xf numFmtId="3" fontId="5" fillId="0" borderId="21" xfId="0" applyNumberFormat="1" applyFont="1" applyBorder="1"/>
    <xf numFmtId="167" fontId="5" fillId="0" borderId="4" xfId="3" applyNumberFormat="1" applyFont="1" applyBorder="1"/>
    <xf numFmtId="167" fontId="5" fillId="0" borderId="4" xfId="0" applyNumberFormat="1" applyFont="1" applyBorder="1"/>
    <xf numFmtId="3" fontId="9" fillId="0" borderId="0" xfId="0" applyNumberFormat="1" applyFont="1"/>
    <xf numFmtId="0" fontId="7" fillId="0" borderId="0" xfId="0" applyFont="1"/>
    <xf numFmtId="0" fontId="2" fillId="0" borderId="6" xfId="0" applyFont="1" applyBorder="1"/>
    <xf numFmtId="0" fontId="5" fillId="0" borderId="21" xfId="0" applyFont="1" applyBorder="1" applyAlignment="1">
      <alignment horizontal="left" wrapText="1"/>
    </xf>
    <xf numFmtId="0" fontId="6" fillId="0" borderId="21" xfId="0" applyFont="1" applyBorder="1" applyAlignment="1">
      <alignment horizontal="left" vertical="center" wrapText="1"/>
    </xf>
    <xf numFmtId="0" fontId="6" fillId="0" borderId="21" xfId="0" applyFont="1" applyBorder="1" applyAlignment="1">
      <alignment horizontal="left" wrapText="1"/>
    </xf>
    <xf numFmtId="0" fontId="5" fillId="0" borderId="21" xfId="0" applyFont="1" applyBorder="1" applyAlignment="1">
      <alignment horizontal="left"/>
    </xf>
    <xf numFmtId="0" fontId="5" fillId="0" borderId="21" xfId="0" applyFont="1" applyBorder="1" applyAlignment="1">
      <alignment horizontal="left" vertical="center"/>
    </xf>
    <xf numFmtId="0" fontId="6" fillId="0" borderId="21" xfId="0" applyFont="1" applyBorder="1" applyAlignment="1">
      <alignment horizontal="left" vertical="center"/>
    </xf>
    <xf numFmtId="0" fontId="4" fillId="0" borderId="21" xfId="0" applyFont="1" applyBorder="1" applyAlignment="1">
      <alignment horizontal="left"/>
    </xf>
    <xf numFmtId="0" fontId="5" fillId="0" borderId="23" xfId="0" applyFont="1" applyBorder="1" applyAlignment="1">
      <alignment horizontal="left"/>
    </xf>
    <xf numFmtId="164" fontId="3" fillId="0" borderId="0" xfId="1" applyNumberFormat="1" applyFont="1" applyBorder="1"/>
    <xf numFmtId="164" fontId="3" fillId="0" borderId="4" xfId="1" applyNumberFormat="1" applyFont="1" applyBorder="1"/>
    <xf numFmtId="9" fontId="3" fillId="0" borderId="0" xfId="3" applyFont="1" applyBorder="1"/>
    <xf numFmtId="9" fontId="3" fillId="0" borderId="4" xfId="3" applyFont="1" applyBorder="1"/>
    <xf numFmtId="166" fontId="3" fillId="0" borderId="24" xfId="0" applyNumberFormat="1" applyFont="1" applyBorder="1"/>
    <xf numFmtId="0" fontId="2" fillId="0" borderId="9" xfId="0" applyFont="1" applyBorder="1"/>
    <xf numFmtId="0" fontId="2" fillId="0" borderId="2" xfId="0" applyFont="1" applyBorder="1"/>
    <xf numFmtId="1" fontId="3" fillId="0" borderId="24" xfId="0" applyNumberFormat="1" applyFont="1" applyBorder="1"/>
    <xf numFmtId="1" fontId="3" fillId="0" borderId="22" xfId="0" applyNumberFormat="1" applyFont="1" applyBorder="1"/>
    <xf numFmtId="0" fontId="5" fillId="6" borderId="0" xfId="0" applyFont="1" applyFill="1" applyAlignment="1">
      <alignment wrapText="1"/>
    </xf>
    <xf numFmtId="0" fontId="6" fillId="6" borderId="0" xfId="0" applyFont="1" applyFill="1"/>
    <xf numFmtId="1" fontId="6" fillId="6" borderId="0" xfId="0" applyNumberFormat="1" applyFont="1" applyFill="1"/>
    <xf numFmtId="0" fontId="7" fillId="6" borderId="0" xfId="2" applyFont="1" applyFill="1"/>
    <xf numFmtId="0" fontId="19" fillId="0" borderId="0" xfId="0" applyFont="1" applyAlignment="1">
      <alignment horizontal="left"/>
    </xf>
    <xf numFmtId="164" fontId="5" fillId="0" borderId="0" xfId="1" applyNumberFormat="1" applyFont="1" applyFill="1" applyBorder="1" applyAlignment="1">
      <alignment horizontal="right"/>
    </xf>
    <xf numFmtId="164" fontId="5" fillId="0" borderId="0" xfId="0" applyNumberFormat="1" applyFont="1" applyAlignment="1">
      <alignment horizontal="right"/>
    </xf>
    <xf numFmtId="3" fontId="4" fillId="0" borderId="4" xfId="0" applyNumberFormat="1" applyFont="1" applyBorder="1" applyAlignment="1">
      <alignment horizontal="left" wrapText="1"/>
    </xf>
    <xf numFmtId="3" fontId="4" fillId="0" borderId="4" xfId="0" applyNumberFormat="1" applyFont="1" applyBorder="1" applyAlignment="1">
      <alignment horizontal="left"/>
    </xf>
    <xf numFmtId="3" fontId="4" fillId="0" borderId="4" xfId="0" applyNumberFormat="1" applyFont="1" applyBorder="1" applyAlignment="1">
      <alignment horizontal="left" vertical="center"/>
    </xf>
    <xf numFmtId="3" fontId="17" fillId="0" borderId="4" xfId="0" applyNumberFormat="1" applyFont="1" applyBorder="1" applyAlignment="1">
      <alignment horizontal="left" vertical="center"/>
    </xf>
    <xf numFmtId="3" fontId="16" fillId="0" borderId="0" xfId="0" applyNumberFormat="1" applyFont="1"/>
    <xf numFmtId="9" fontId="5" fillId="0" borderId="0" xfId="3" applyFont="1" applyBorder="1"/>
    <xf numFmtId="3" fontId="4" fillId="0" borderId="3" xfId="0" applyNumberFormat="1" applyFont="1" applyBorder="1" applyAlignment="1">
      <alignment horizontal="center" wrapText="1"/>
    </xf>
    <xf numFmtId="3" fontId="7" fillId="0" borderId="7" xfId="0" applyNumberFormat="1" applyFont="1" applyBorder="1" applyAlignment="1">
      <alignment horizontal="left"/>
    </xf>
    <xf numFmtId="3" fontId="9" fillId="0" borderId="0" xfId="0" applyNumberFormat="1" applyFont="1" applyAlignment="1">
      <alignment horizontal="left"/>
    </xf>
    <xf numFmtId="3" fontId="5" fillId="0" borderId="0" xfId="1" applyNumberFormat="1" applyFont="1" applyFill="1" applyBorder="1" applyAlignment="1">
      <alignment horizontal="left"/>
    </xf>
    <xf numFmtId="3" fontId="5" fillId="0" borderId="4" xfId="1" applyNumberFormat="1" applyFont="1" applyFill="1" applyBorder="1" applyAlignment="1">
      <alignment horizontal="left"/>
    </xf>
    <xf numFmtId="3" fontId="7" fillId="7" borderId="0" xfId="0" applyNumberFormat="1" applyFont="1" applyFill="1"/>
    <xf numFmtId="3" fontId="5" fillId="7" borderId="0" xfId="0" applyNumberFormat="1" applyFont="1" applyFill="1"/>
    <xf numFmtId="3" fontId="5" fillId="7" borderId="0" xfId="0" applyNumberFormat="1" applyFont="1" applyFill="1" applyAlignment="1">
      <alignment horizontal="right"/>
    </xf>
    <xf numFmtId="3" fontId="5" fillId="7" borderId="4" xfId="0" applyNumberFormat="1" applyFont="1" applyFill="1" applyBorder="1" applyAlignment="1">
      <alignment horizontal="right"/>
    </xf>
    <xf numFmtId="3" fontId="5" fillId="7" borderId="4" xfId="0" applyNumberFormat="1" applyFont="1" applyFill="1" applyBorder="1"/>
    <xf numFmtId="3" fontId="5" fillId="7" borderId="0" xfId="1" applyNumberFormat="1" applyFont="1" applyFill="1" applyBorder="1" applyAlignment="1">
      <alignment horizontal="left"/>
    </xf>
    <xf numFmtId="3" fontId="5" fillId="7" borderId="4" xfId="1" applyNumberFormat="1" applyFont="1" applyFill="1" applyBorder="1" applyAlignment="1">
      <alignment horizontal="left"/>
    </xf>
    <xf numFmtId="3" fontId="5" fillId="7" borderId="11" xfId="0" applyNumberFormat="1" applyFont="1" applyFill="1" applyBorder="1"/>
    <xf numFmtId="164" fontId="5" fillId="7" borderId="11" xfId="1" applyNumberFormat="1" applyFont="1" applyFill="1" applyBorder="1"/>
    <xf numFmtId="164" fontId="5" fillId="7" borderId="0" xfId="1" applyNumberFormat="1" applyFont="1" applyFill="1" applyBorder="1"/>
    <xf numFmtId="164" fontId="5" fillId="7" borderId="4" xfId="1" applyNumberFormat="1" applyFont="1" applyFill="1" applyBorder="1"/>
    <xf numFmtId="0" fontId="4" fillId="0" borderId="4" xfId="0" applyFont="1" applyBorder="1"/>
    <xf numFmtId="3" fontId="5" fillId="0" borderId="24" xfId="0" applyNumberFormat="1" applyFont="1" applyBorder="1"/>
    <xf numFmtId="3" fontId="5" fillId="0" borderId="22" xfId="0" applyNumberFormat="1" applyFont="1" applyBorder="1"/>
    <xf numFmtId="0" fontId="5" fillId="7" borderId="11" xfId="0" applyFont="1" applyFill="1" applyBorder="1" applyAlignment="1">
      <alignment horizontal="left"/>
    </xf>
    <xf numFmtId="0" fontId="5" fillId="7" borderId="0" xfId="0" applyFont="1" applyFill="1" applyAlignment="1">
      <alignment horizontal="left"/>
    </xf>
    <xf numFmtId="0" fontId="5" fillId="7" borderId="4" xfId="0" applyFont="1" applyFill="1" applyBorder="1" applyAlignment="1">
      <alignment horizontal="left"/>
    </xf>
    <xf numFmtId="3" fontId="7" fillId="0" borderId="24" xfId="0" applyNumberFormat="1" applyFont="1" applyBorder="1"/>
    <xf numFmtId="9" fontId="5" fillId="0" borderId="4" xfId="3" applyFont="1" applyBorder="1"/>
    <xf numFmtId="3" fontId="5" fillId="0" borderId="24" xfId="0" applyNumberFormat="1" applyFont="1" applyBorder="1" applyAlignment="1">
      <alignment horizontal="right"/>
    </xf>
    <xf numFmtId="3" fontId="7" fillId="0" borderId="24" xfId="0" applyNumberFormat="1" applyFont="1" applyBorder="1" applyAlignment="1">
      <alignment horizontal="right"/>
    </xf>
    <xf numFmtId="3" fontId="5" fillId="0" borderId="25" xfId="0" applyNumberFormat="1" applyFont="1" applyBorder="1" applyAlignment="1">
      <alignment horizontal="right"/>
    </xf>
    <xf numFmtId="3" fontId="5" fillId="0" borderId="25" xfId="1" applyNumberFormat="1" applyFont="1" applyBorder="1"/>
    <xf numFmtId="3" fontId="5" fillId="0" borderId="24" xfId="1" applyNumberFormat="1" applyFont="1" applyBorder="1"/>
    <xf numFmtId="3" fontId="5" fillId="0" borderId="22" xfId="1" applyNumberFormat="1" applyFont="1" applyBorder="1"/>
    <xf numFmtId="3" fontId="5" fillId="0" borderId="22" xfId="0" applyNumberFormat="1" applyFont="1" applyBorder="1" applyAlignment="1">
      <alignment horizontal="right"/>
    </xf>
    <xf numFmtId="0" fontId="12" fillId="0" borderId="12" xfId="0" applyFont="1" applyBorder="1" applyAlignment="1">
      <alignment wrapText="1"/>
    </xf>
    <xf numFmtId="0" fontId="12" fillId="0" borderId="12" xfId="0" applyFont="1" applyBorder="1"/>
    <xf numFmtId="0" fontId="11" fillId="0" borderId="5" xfId="0" applyFont="1" applyBorder="1" applyAlignment="1">
      <alignment wrapText="1"/>
    </xf>
    <xf numFmtId="0" fontId="11" fillId="0" borderId="0" xfId="0" applyFont="1" applyAlignment="1">
      <alignment wrapText="1"/>
    </xf>
    <xf numFmtId="0" fontId="11" fillId="0" borderId="4" xfId="0" applyFont="1" applyBorder="1" applyAlignment="1">
      <alignment wrapText="1"/>
    </xf>
    <xf numFmtId="0" fontId="21" fillId="0" borderId="4" xfId="0" applyFont="1" applyBorder="1" applyAlignment="1">
      <alignment wrapText="1"/>
    </xf>
    <xf numFmtId="0" fontId="21" fillId="0" borderId="0" xfId="0" applyFont="1" applyAlignment="1">
      <alignment wrapText="1"/>
    </xf>
    <xf numFmtId="0" fontId="11" fillId="0" borderId="0" xfId="0" applyFont="1" applyAlignment="1">
      <alignment vertical="center" wrapText="1"/>
    </xf>
    <xf numFmtId="0" fontId="23" fillId="0" borderId="0" xfId="0" applyFont="1" applyAlignment="1">
      <alignment vertical="center" wrapText="1"/>
    </xf>
    <xf numFmtId="0" fontId="24" fillId="0" borderId="4" xfId="0" applyFont="1" applyBorder="1" applyAlignment="1">
      <alignment wrapText="1"/>
    </xf>
    <xf numFmtId="0" fontId="24" fillId="0" borderId="0" xfId="0" applyFont="1" applyAlignment="1">
      <alignment wrapText="1"/>
    </xf>
    <xf numFmtId="3" fontId="11" fillId="0" borderId="0" xfId="0" applyNumberFormat="1" applyFont="1" applyAlignment="1">
      <alignment horizontal="left"/>
    </xf>
    <xf numFmtId="0" fontId="11" fillId="0" borderId="0" xfId="0" applyFont="1" applyAlignment="1">
      <alignment horizontal="left"/>
    </xf>
    <xf numFmtId="0" fontId="20" fillId="0" borderId="0" xfId="0" applyFont="1" applyAlignment="1">
      <alignment vertical="center" wrapText="1"/>
    </xf>
    <xf numFmtId="0" fontId="5" fillId="0" borderId="26" xfId="0" applyFont="1" applyBorder="1"/>
    <xf numFmtId="0" fontId="5" fillId="0" borderId="30" xfId="0" applyFont="1" applyBorder="1"/>
    <xf numFmtId="0" fontId="5" fillId="0" borderId="31" xfId="0" applyFont="1" applyBorder="1" applyAlignment="1">
      <alignment wrapText="1"/>
    </xf>
    <xf numFmtId="0" fontId="5" fillId="0" borderId="32" xfId="0" applyFont="1" applyBorder="1" applyAlignment="1">
      <alignment wrapText="1"/>
    </xf>
    <xf numFmtId="0" fontId="6" fillId="0" borderId="32" xfId="0" applyFont="1" applyBorder="1" applyAlignment="1">
      <alignment wrapText="1"/>
    </xf>
    <xf numFmtId="0" fontId="5" fillId="0" borderId="33" xfId="0" applyFont="1" applyBorder="1"/>
    <xf numFmtId="0" fontId="6" fillId="0" borderId="34" xfId="0" applyFont="1" applyBorder="1" applyAlignment="1">
      <alignment wrapText="1"/>
    </xf>
    <xf numFmtId="0" fontId="6" fillId="0" borderId="0" xfId="0" applyFont="1" applyAlignment="1">
      <alignment wrapText="1"/>
    </xf>
    <xf numFmtId="0" fontId="5" fillId="0" borderId="31" xfId="0" applyFont="1" applyBorder="1"/>
    <xf numFmtId="164" fontId="5" fillId="0" borderId="0" xfId="1" applyNumberFormat="1" applyFont="1" applyFill="1" applyBorder="1"/>
    <xf numFmtId="164" fontId="5" fillId="0" borderId="0" xfId="1" applyNumberFormat="1" applyFont="1" applyFill="1"/>
    <xf numFmtId="18" fontId="5" fillId="0" borderId="38" xfId="0" applyNumberFormat="1" applyFont="1" applyBorder="1"/>
    <xf numFmtId="18" fontId="5" fillId="0" borderId="33" xfId="0" applyNumberFormat="1" applyFont="1" applyBorder="1"/>
    <xf numFmtId="0" fontId="3" fillId="0" borderId="42" xfId="0" applyFont="1" applyBorder="1"/>
    <xf numFmtId="0" fontId="3" fillId="0" borderId="38" xfId="0" applyFont="1" applyBorder="1"/>
    <xf numFmtId="0" fontId="5" fillId="0" borderId="38" xfId="0" applyFont="1" applyBorder="1"/>
    <xf numFmtId="0" fontId="3" fillId="0" borderId="44" xfId="0" applyFont="1" applyBorder="1"/>
    <xf numFmtId="0" fontId="5" fillId="0" borderId="47" xfId="0" applyFont="1" applyBorder="1" applyAlignment="1">
      <alignment wrapText="1"/>
    </xf>
    <xf numFmtId="0" fontId="5" fillId="0" borderId="39" xfId="0" applyFont="1" applyBorder="1"/>
    <xf numFmtId="0" fontId="6" fillId="0" borderId="39" xfId="0" applyFont="1" applyBorder="1"/>
    <xf numFmtId="0" fontId="6" fillId="0" borderId="48" xfId="0" applyFont="1" applyBorder="1"/>
    <xf numFmtId="0" fontId="4" fillId="0" borderId="0" xfId="0" applyFont="1" applyAlignment="1">
      <alignment vertical="center"/>
    </xf>
    <xf numFmtId="0" fontId="5" fillId="0" borderId="0" xfId="0" applyFont="1" applyAlignment="1">
      <alignment horizontal="left" vertical="top" wrapText="1"/>
    </xf>
    <xf numFmtId="0" fontId="5" fillId="0" borderId="34" xfId="0" applyFont="1" applyBorder="1"/>
    <xf numFmtId="0" fontId="4" fillId="0" borderId="26" xfId="0" applyFont="1" applyBorder="1"/>
    <xf numFmtId="0" fontId="4" fillId="0" borderId="27" xfId="0" applyFont="1" applyBorder="1" applyAlignment="1">
      <alignment horizontal="center"/>
    </xf>
    <xf numFmtId="0" fontId="5" fillId="0" borderId="42" xfId="0" applyFont="1" applyBorder="1"/>
    <xf numFmtId="0" fontId="5" fillId="0" borderId="44" xfId="0" applyFont="1" applyBorder="1"/>
    <xf numFmtId="164" fontId="5" fillId="0" borderId="6" xfId="1" applyNumberFormat="1" applyFont="1" applyFill="1" applyBorder="1"/>
    <xf numFmtId="164" fontId="5" fillId="0" borderId="17" xfId="1" applyNumberFormat="1" applyFont="1" applyFill="1" applyBorder="1"/>
    <xf numFmtId="164" fontId="5" fillId="0" borderId="14" xfId="1" applyNumberFormat="1" applyFont="1" applyFill="1" applyBorder="1"/>
    <xf numFmtId="0" fontId="4" fillId="0" borderId="0" xfId="0" applyFont="1" applyAlignment="1">
      <alignment horizontal="center"/>
    </xf>
    <xf numFmtId="0" fontId="4" fillId="0" borderId="26" xfId="0" applyFont="1" applyBorder="1" applyAlignment="1">
      <alignment horizontal="center"/>
    </xf>
    <xf numFmtId="0" fontId="4" fillId="0" borderId="0" xfId="0" applyFont="1"/>
    <xf numFmtId="164" fontId="5" fillId="0" borderId="43" xfId="1" applyNumberFormat="1" applyFont="1" applyFill="1" applyBorder="1"/>
    <xf numFmtId="0" fontId="4" fillId="0" borderId="27" xfId="0" applyFont="1" applyBorder="1"/>
    <xf numFmtId="0" fontId="5" fillId="0" borderId="48" xfId="0" applyFont="1" applyBorder="1"/>
    <xf numFmtId="0" fontId="4" fillId="0" borderId="29" xfId="0" applyFont="1" applyBorder="1" applyAlignment="1">
      <alignment horizontal="center"/>
    </xf>
    <xf numFmtId="0" fontId="4" fillId="0" borderId="34" xfId="0" applyFont="1" applyBorder="1" applyAlignment="1">
      <alignment horizontal="center"/>
    </xf>
    <xf numFmtId="164" fontId="5" fillId="0" borderId="22" xfId="1" applyNumberFormat="1" applyFont="1" applyFill="1" applyBorder="1"/>
    <xf numFmtId="164" fontId="5" fillId="0" borderId="23" xfId="1" applyNumberFormat="1" applyFont="1" applyFill="1" applyBorder="1"/>
    <xf numFmtId="0" fontId="4" fillId="0" borderId="28" xfId="0" applyFont="1" applyBorder="1" applyAlignment="1">
      <alignment horizontal="right"/>
    </xf>
    <xf numFmtId="164" fontId="5" fillId="0" borderId="37" xfId="1" applyNumberFormat="1" applyFont="1" applyFill="1" applyBorder="1"/>
    <xf numFmtId="0" fontId="4" fillId="0" borderId="28" xfId="0" applyFont="1" applyBorder="1" applyAlignment="1">
      <alignment horizontal="center"/>
    </xf>
    <xf numFmtId="164" fontId="5" fillId="0" borderId="45" xfId="1" applyNumberFormat="1" applyFont="1" applyFill="1" applyBorder="1"/>
    <xf numFmtId="3" fontId="6" fillId="0" borderId="23" xfId="0" applyNumberFormat="1" applyFont="1" applyBorder="1"/>
    <xf numFmtId="0" fontId="5" fillId="0" borderId="24" xfId="0" applyFont="1" applyBorder="1" applyAlignment="1">
      <alignment vertical="center" wrapText="1"/>
    </xf>
    <xf numFmtId="0" fontId="5" fillId="0" borderId="2" xfId="0" applyFont="1" applyBorder="1" applyAlignment="1">
      <alignment vertical="center" wrapText="1"/>
    </xf>
    <xf numFmtId="0" fontId="5" fillId="0" borderId="2" xfId="0" applyFont="1" applyBorder="1"/>
    <xf numFmtId="0" fontId="5" fillId="0" borderId="12" xfId="0" applyFont="1" applyBorder="1"/>
    <xf numFmtId="0" fontId="5" fillId="0" borderId="50" xfId="0" applyFont="1" applyBorder="1"/>
    <xf numFmtId="0" fontId="5" fillId="0" borderId="40" xfId="0" applyFont="1" applyBorder="1"/>
    <xf numFmtId="0" fontId="5" fillId="0" borderId="41" xfId="0" applyFont="1" applyBorder="1"/>
    <xf numFmtId="0" fontId="6" fillId="0" borderId="0" xfId="0" applyFont="1"/>
    <xf numFmtId="0" fontId="4" fillId="0" borderId="33" xfId="0" applyFont="1" applyBorder="1"/>
    <xf numFmtId="0" fontId="4" fillId="8" borderId="0" xfId="0" applyFont="1" applyFill="1"/>
    <xf numFmtId="0" fontId="6" fillId="8" borderId="0" xfId="0" applyFont="1" applyFill="1" applyAlignment="1">
      <alignment wrapText="1"/>
    </xf>
    <xf numFmtId="164" fontId="5" fillId="8" borderId="0" xfId="1" applyNumberFormat="1" applyFont="1" applyFill="1"/>
    <xf numFmtId="0" fontId="17" fillId="8" borderId="0" xfId="0" applyFont="1" applyFill="1" applyAlignment="1">
      <alignment wrapText="1"/>
    </xf>
    <xf numFmtId="164" fontId="4" fillId="8" borderId="0" xfId="1" applyNumberFormat="1" applyFont="1" applyFill="1"/>
    <xf numFmtId="0" fontId="5" fillId="0" borderId="47" xfId="0" applyFont="1" applyBorder="1"/>
    <xf numFmtId="164" fontId="3" fillId="0" borderId="53" xfId="0" applyNumberFormat="1" applyFont="1" applyBorder="1"/>
    <xf numFmtId="0" fontId="5" fillId="0" borderId="39" xfId="0" applyFont="1" applyBorder="1" applyAlignment="1">
      <alignment wrapText="1"/>
    </xf>
    <xf numFmtId="164" fontId="3" fillId="0" borderId="51" xfId="0" applyNumberFormat="1" applyFont="1" applyBorder="1"/>
    <xf numFmtId="3" fontId="6" fillId="0" borderId="52" xfId="0" applyNumberFormat="1" applyFont="1" applyBorder="1"/>
    <xf numFmtId="0" fontId="5" fillId="0" borderId="32" xfId="0" applyFont="1" applyBorder="1"/>
    <xf numFmtId="0" fontId="5" fillId="0" borderId="54" xfId="0" applyFont="1" applyBorder="1"/>
    <xf numFmtId="0" fontId="5" fillId="0" borderId="53" xfId="0" applyFont="1" applyBorder="1"/>
    <xf numFmtId="164" fontId="5" fillId="0" borderId="51" xfId="1" applyNumberFormat="1" applyFont="1" applyBorder="1"/>
    <xf numFmtId="164" fontId="5" fillId="0" borderId="52" xfId="1" applyNumberFormat="1" applyFont="1" applyBorder="1"/>
    <xf numFmtId="0" fontId="4" fillId="9" borderId="0" xfId="0" applyFont="1" applyFill="1"/>
    <xf numFmtId="0" fontId="5" fillId="9" borderId="0" xfId="0" applyFont="1" applyFill="1"/>
    <xf numFmtId="0" fontId="4" fillId="9" borderId="0" xfId="0" applyFont="1" applyFill="1" applyAlignment="1">
      <alignment horizontal="left"/>
    </xf>
    <xf numFmtId="0" fontId="5" fillId="9" borderId="0" xfId="0" applyFont="1" applyFill="1" applyAlignment="1">
      <alignment horizontal="left"/>
    </xf>
    <xf numFmtId="0" fontId="4" fillId="10" borderId="0" xfId="0" applyFont="1" applyFill="1"/>
    <xf numFmtId="0" fontId="5" fillId="10" borderId="0" xfId="0" applyFont="1" applyFill="1"/>
    <xf numFmtId="0" fontId="4" fillId="11" borderId="0" xfId="0" applyFont="1" applyFill="1"/>
    <xf numFmtId="0" fontId="5" fillId="11" borderId="0" xfId="0" applyFont="1" applyFill="1"/>
    <xf numFmtId="0" fontId="4" fillId="0" borderId="29" xfId="0" applyFont="1" applyBorder="1"/>
    <xf numFmtId="0" fontId="5" fillId="0" borderId="0" xfId="0" applyFont="1" applyAlignment="1">
      <alignment horizontal="right"/>
    </xf>
    <xf numFmtId="3" fontId="7" fillId="0" borderId="4" xfId="0" applyNumberFormat="1" applyFont="1" applyBorder="1" applyAlignment="1">
      <alignment wrapText="1"/>
    </xf>
    <xf numFmtId="0" fontId="7" fillId="7" borderId="4" xfId="0" applyFont="1" applyFill="1" applyBorder="1"/>
    <xf numFmtId="0" fontId="4" fillId="0" borderId="3" xfId="0" applyFont="1" applyBorder="1" applyAlignment="1">
      <alignment wrapText="1"/>
    </xf>
    <xf numFmtId="2" fontId="5" fillId="0" borderId="0" xfId="0" applyNumberFormat="1" applyFont="1"/>
    <xf numFmtId="168" fontId="5" fillId="0" borderId="0" xfId="0" applyNumberFormat="1" applyFont="1"/>
    <xf numFmtId="0" fontId="16" fillId="0" borderId="0" xfId="0" applyFont="1"/>
    <xf numFmtId="0" fontId="16" fillId="0" borderId="4" xfId="0" applyFont="1" applyBorder="1" applyAlignment="1">
      <alignment horizontal="left" vertical="center"/>
    </xf>
    <xf numFmtId="3" fontId="16" fillId="0" borderId="11" xfId="1" applyNumberFormat="1" applyFont="1" applyFill="1" applyBorder="1"/>
    <xf numFmtId="3" fontId="16" fillId="0" borderId="0" xfId="1" applyNumberFormat="1" applyFont="1" applyFill="1" applyBorder="1"/>
    <xf numFmtId="0" fontId="16" fillId="0" borderId="0" xfId="0" applyFont="1" applyAlignment="1">
      <alignment horizontal="left"/>
    </xf>
    <xf numFmtId="0" fontId="7" fillId="0" borderId="4" xfId="0" applyFont="1" applyBorder="1" applyAlignment="1">
      <alignment horizontal="left" wrapText="1"/>
    </xf>
    <xf numFmtId="3" fontId="7" fillId="0" borderId="0" xfId="0" applyNumberFormat="1" applyFont="1" applyAlignment="1">
      <alignment horizontal="right"/>
    </xf>
    <xf numFmtId="3" fontId="7" fillId="0" borderId="11" xfId="0" applyNumberFormat="1" applyFont="1" applyBorder="1"/>
    <xf numFmtId="0" fontId="7" fillId="0" borderId="4" xfId="0" applyFont="1" applyBorder="1" applyAlignment="1">
      <alignment horizontal="left" vertical="center" wrapText="1"/>
    </xf>
    <xf numFmtId="164" fontId="7" fillId="0" borderId="0" xfId="1" applyNumberFormat="1" applyFont="1" applyFill="1"/>
    <xf numFmtId="0" fontId="7" fillId="0" borderId="4" xfId="0" applyFont="1" applyBorder="1" applyAlignment="1">
      <alignment horizontal="left"/>
    </xf>
    <xf numFmtId="0" fontId="7" fillId="0" borderId="4" xfId="0" applyFont="1" applyBorder="1" applyAlignment="1">
      <alignment horizontal="left" vertical="center"/>
    </xf>
    <xf numFmtId="3" fontId="16" fillId="0" borderId="4" xfId="0" applyNumberFormat="1" applyFont="1" applyBorder="1"/>
    <xf numFmtId="3" fontId="7" fillId="0" borderId="11" xfId="1" applyNumberFormat="1" applyFont="1" applyFill="1" applyBorder="1"/>
    <xf numFmtId="0" fontId="27" fillId="0" borderId="0" xfId="0" applyFont="1"/>
    <xf numFmtId="164" fontId="7" fillId="0" borderId="0" xfId="1" applyNumberFormat="1" applyFont="1" applyFill="1" applyBorder="1"/>
    <xf numFmtId="0" fontId="7" fillId="0" borderId="4" xfId="0" applyFont="1" applyBorder="1"/>
    <xf numFmtId="0" fontId="7" fillId="0" borderId="0" xfId="0" applyFont="1" applyAlignment="1">
      <alignment horizontal="left"/>
    </xf>
    <xf numFmtId="164" fontId="7" fillId="0" borderId="4" xfId="1" applyNumberFormat="1" applyFont="1" applyFill="1" applyBorder="1"/>
    <xf numFmtId="164" fontId="7" fillId="0" borderId="11" xfId="1" applyNumberFormat="1" applyFont="1" applyFill="1" applyBorder="1"/>
    <xf numFmtId="0" fontId="16" fillId="0" borderId="0" xfId="0" applyFont="1" applyAlignment="1">
      <alignment horizontal="right"/>
    </xf>
    <xf numFmtId="0" fontId="7" fillId="0" borderId="0" xfId="0" applyFont="1" applyAlignment="1">
      <alignment wrapText="1"/>
    </xf>
    <xf numFmtId="3" fontId="16" fillId="0" borderId="0" xfId="0" applyNumberFormat="1" applyFont="1" applyAlignment="1">
      <alignment horizontal="right"/>
    </xf>
    <xf numFmtId="3" fontId="16" fillId="0" borderId="11" xfId="0" applyNumberFormat="1" applyFont="1" applyBorder="1"/>
    <xf numFmtId="0" fontId="7" fillId="0" borderId="0" xfId="0" applyFont="1" applyAlignment="1">
      <alignment horizontal="right"/>
    </xf>
    <xf numFmtId="0" fontId="7" fillId="0" borderId="11" xfId="0" applyFont="1" applyBorder="1"/>
    <xf numFmtId="166" fontId="7" fillId="0" borderId="0" xfId="0" applyNumberFormat="1" applyFont="1"/>
    <xf numFmtId="166" fontId="7" fillId="0" borderId="0" xfId="0" applyNumberFormat="1" applyFont="1" applyAlignment="1">
      <alignment horizontal="right"/>
    </xf>
    <xf numFmtId="2" fontId="7" fillId="0" borderId="0" xfId="0" applyNumberFormat="1" applyFont="1"/>
    <xf numFmtId="2" fontId="7" fillId="0" borderId="0" xfId="0" applyNumberFormat="1" applyFont="1" applyAlignment="1">
      <alignment horizontal="right"/>
    </xf>
    <xf numFmtId="3" fontId="28" fillId="0" borderId="0" xfId="0" applyNumberFormat="1" applyFont="1" applyAlignment="1">
      <alignment horizontal="left"/>
    </xf>
    <xf numFmtId="3" fontId="4" fillId="0" borderId="0" xfId="0" applyNumberFormat="1" applyFont="1" applyAlignment="1">
      <alignment horizontal="right"/>
    </xf>
    <xf numFmtId="3" fontId="5" fillId="0" borderId="0" xfId="0" applyNumberFormat="1" applyFont="1" applyAlignment="1">
      <alignment horizontal="center"/>
    </xf>
    <xf numFmtId="3" fontId="4" fillId="0" borderId="7" xfId="0" applyNumberFormat="1" applyFont="1" applyBorder="1" applyAlignment="1">
      <alignment horizontal="center" wrapText="1"/>
    </xf>
    <xf numFmtId="3" fontId="5" fillId="0" borderId="0" xfId="0" applyNumberFormat="1" applyFont="1" applyAlignment="1">
      <alignment horizontal="center" wrapText="1"/>
    </xf>
    <xf numFmtId="3" fontId="4" fillId="4" borderId="5" xfId="5" applyNumberFormat="1" applyFont="1" applyBorder="1" applyAlignment="1">
      <alignment horizontal="left" wrapText="1"/>
    </xf>
    <xf numFmtId="3" fontId="5" fillId="4" borderId="0" xfId="5" applyNumberFormat="1" applyFont="1" applyAlignment="1">
      <alignment horizontal="right"/>
    </xf>
    <xf numFmtId="3" fontId="5" fillId="4" borderId="0" xfId="5" applyNumberFormat="1" applyFont="1" applyBorder="1" applyAlignment="1">
      <alignment horizontal="right"/>
    </xf>
    <xf numFmtId="3" fontId="5" fillId="4" borderId="0" xfId="5" applyNumberFormat="1" applyFont="1" applyAlignment="1">
      <alignment horizontal="right" wrapText="1"/>
    </xf>
    <xf numFmtId="164" fontId="5" fillId="4" borderId="0" xfId="5" applyNumberFormat="1" applyFont="1" applyBorder="1" applyAlignment="1">
      <alignment horizontal="right"/>
    </xf>
    <xf numFmtId="164" fontId="5" fillId="4" borderId="0" xfId="5" applyNumberFormat="1" applyFont="1" applyAlignment="1">
      <alignment horizontal="right" wrapText="1"/>
    </xf>
    <xf numFmtId="3" fontId="5" fillId="4" borderId="5" xfId="5" applyNumberFormat="1" applyFont="1" applyBorder="1" applyAlignment="1">
      <alignment horizontal="right"/>
    </xf>
    <xf numFmtId="3" fontId="5" fillId="4" borderId="0" xfId="5" applyNumberFormat="1" applyFont="1"/>
    <xf numFmtId="3" fontId="5" fillId="4" borderId="8" xfId="5" applyNumberFormat="1" applyFont="1" applyBorder="1" applyAlignment="1">
      <alignment horizontal="right" wrapText="1"/>
    </xf>
    <xf numFmtId="164" fontId="5" fillId="4" borderId="0" xfId="5" applyNumberFormat="1" applyFont="1"/>
    <xf numFmtId="3" fontId="5" fillId="4" borderId="4" xfId="5" applyNumberFormat="1" applyFont="1" applyBorder="1" applyAlignment="1">
      <alignment horizontal="right"/>
    </xf>
    <xf numFmtId="3" fontId="5" fillId="4" borderId="4" xfId="5" applyNumberFormat="1" applyFont="1" applyBorder="1" applyAlignment="1">
      <alignment horizontal="left" wrapText="1"/>
    </xf>
    <xf numFmtId="3" fontId="4" fillId="4" borderId="4" xfId="5" applyNumberFormat="1" applyFont="1" applyBorder="1" applyAlignment="1">
      <alignment horizontal="left" wrapText="1"/>
    </xf>
    <xf numFmtId="3" fontId="4" fillId="4" borderId="4" xfId="5" applyNumberFormat="1" applyFont="1" applyBorder="1" applyAlignment="1">
      <alignment horizontal="left" vertical="center" wrapText="1"/>
    </xf>
    <xf numFmtId="0" fontId="5" fillId="4" borderId="0" xfId="5" applyFont="1" applyAlignment="1">
      <alignment horizontal="right"/>
    </xf>
    <xf numFmtId="3" fontId="5" fillId="5" borderId="0" xfId="6" applyNumberFormat="1" applyFont="1"/>
    <xf numFmtId="3" fontId="5" fillId="5" borderId="4" xfId="6" applyNumberFormat="1" applyFont="1" applyBorder="1" applyAlignment="1">
      <alignment horizontal="left" vertical="center"/>
    </xf>
    <xf numFmtId="3" fontId="5" fillId="5" borderId="0" xfId="6" applyNumberFormat="1" applyFont="1" applyAlignment="1">
      <alignment horizontal="right"/>
    </xf>
    <xf numFmtId="3" fontId="5" fillId="5" borderId="4" xfId="6" applyNumberFormat="1" applyFont="1" applyBorder="1" applyAlignment="1">
      <alignment horizontal="right"/>
    </xf>
    <xf numFmtId="3" fontId="5" fillId="5" borderId="4" xfId="6" applyNumberFormat="1" applyFont="1" applyBorder="1" applyAlignment="1">
      <alignment horizontal="left"/>
    </xf>
    <xf numFmtId="164" fontId="5" fillId="5" borderId="0" xfId="6" applyNumberFormat="1" applyFont="1" applyBorder="1" applyAlignment="1">
      <alignment horizontal="right"/>
    </xf>
    <xf numFmtId="0" fontId="5" fillId="5" borderId="0" xfId="6" applyFont="1" applyAlignment="1">
      <alignment horizontal="right"/>
    </xf>
    <xf numFmtId="164" fontId="5" fillId="5" borderId="0" xfId="6" applyNumberFormat="1" applyFont="1"/>
    <xf numFmtId="0" fontId="5" fillId="5" borderId="0" xfId="6" applyFont="1"/>
    <xf numFmtId="3" fontId="29" fillId="3" borderId="0" xfId="4" applyNumberFormat="1" applyFont="1"/>
    <xf numFmtId="3" fontId="29" fillId="3" borderId="4" xfId="4" applyNumberFormat="1" applyFont="1" applyBorder="1" applyAlignment="1">
      <alignment horizontal="left" wrapText="1"/>
    </xf>
    <xf numFmtId="3" fontId="29" fillId="3" borderId="0" xfId="4" applyNumberFormat="1" applyFont="1" applyBorder="1" applyAlignment="1">
      <alignment horizontal="right"/>
    </xf>
    <xf numFmtId="3" fontId="29" fillId="3" borderId="0" xfId="4" applyNumberFormat="1" applyFont="1" applyAlignment="1">
      <alignment horizontal="right"/>
    </xf>
    <xf numFmtId="164" fontId="29" fillId="3" borderId="0" xfId="4" applyNumberFormat="1" applyFont="1" applyBorder="1" applyAlignment="1">
      <alignment horizontal="right"/>
    </xf>
    <xf numFmtId="0" fontId="29" fillId="3" borderId="0" xfId="4" applyFont="1" applyAlignment="1">
      <alignment horizontal="right"/>
    </xf>
    <xf numFmtId="3" fontId="29" fillId="3" borderId="4" xfId="4" applyNumberFormat="1" applyFont="1" applyBorder="1" applyAlignment="1">
      <alignment horizontal="right"/>
    </xf>
    <xf numFmtId="0" fontId="29" fillId="3" borderId="0" xfId="4" applyFont="1"/>
    <xf numFmtId="164" fontId="29" fillId="3" borderId="0" xfId="4" applyNumberFormat="1" applyFont="1" applyAlignment="1">
      <alignment horizontal="right"/>
    </xf>
    <xf numFmtId="3" fontId="29" fillId="3" borderId="4" xfId="4" applyNumberFormat="1" applyFont="1" applyBorder="1" applyAlignment="1">
      <alignment horizontal="left"/>
    </xf>
    <xf numFmtId="164" fontId="9" fillId="3" borderId="0" xfId="4" applyNumberFormat="1" applyFont="1" applyBorder="1" applyAlignment="1">
      <alignment horizontal="right"/>
    </xf>
    <xf numFmtId="3" fontId="29" fillId="3" borderId="0" xfId="4" applyNumberFormat="1" applyFont="1" applyBorder="1" applyAlignment="1">
      <alignment horizontal="left"/>
    </xf>
    <xf numFmtId="3" fontId="5" fillId="6" borderId="0" xfId="0" applyNumberFormat="1" applyFont="1" applyFill="1"/>
    <xf numFmtId="3" fontId="5" fillId="6" borderId="0" xfId="0" applyNumberFormat="1" applyFont="1" applyFill="1" applyAlignment="1">
      <alignment horizontal="right"/>
    </xf>
    <xf numFmtId="3" fontId="5" fillId="6" borderId="4" xfId="0" applyNumberFormat="1" applyFont="1" applyFill="1" applyBorder="1" applyAlignment="1">
      <alignment horizontal="right"/>
    </xf>
    <xf numFmtId="1" fontId="5" fillId="6" borderId="0" xfId="0" applyNumberFormat="1" applyFont="1" applyFill="1" applyAlignment="1">
      <alignment horizontal="right"/>
    </xf>
    <xf numFmtId="3" fontId="5" fillId="2" borderId="0" xfId="0" applyNumberFormat="1" applyFont="1" applyFill="1" applyAlignment="1">
      <alignment horizontal="right"/>
    </xf>
    <xf numFmtId="167" fontId="5" fillId="0" borderId="4" xfId="0" applyNumberFormat="1" applyFont="1" applyBorder="1" applyAlignment="1">
      <alignment horizontal="right"/>
    </xf>
    <xf numFmtId="3" fontId="5" fillId="12" borderId="0" xfId="6" applyNumberFormat="1" applyFont="1" applyFill="1" applyAlignment="1">
      <alignment horizontal="right"/>
    </xf>
    <xf numFmtId="164" fontId="5" fillId="12" borderId="0" xfId="5" applyNumberFormat="1" applyFont="1" applyFill="1" applyAlignment="1">
      <alignment horizontal="right" wrapText="1"/>
    </xf>
    <xf numFmtId="3" fontId="5" fillId="12" borderId="0" xfId="5" applyNumberFormat="1" applyFont="1" applyFill="1" applyAlignment="1">
      <alignment horizontal="right"/>
    </xf>
    <xf numFmtId="3" fontId="5" fillId="2" borderId="4" xfId="0" applyNumberFormat="1" applyFont="1" applyFill="1" applyBorder="1" applyAlignment="1">
      <alignment horizontal="right"/>
    </xf>
    <xf numFmtId="3" fontId="5" fillId="12" borderId="0" xfId="5" applyNumberFormat="1" applyFont="1" applyFill="1" applyBorder="1" applyAlignment="1">
      <alignment horizontal="right"/>
    </xf>
    <xf numFmtId="3" fontId="5" fillId="5" borderId="0" xfId="6" applyNumberFormat="1" applyFont="1" applyBorder="1" applyAlignment="1">
      <alignment horizontal="right"/>
    </xf>
    <xf numFmtId="3" fontId="5" fillId="12" borderId="0" xfId="6" applyNumberFormat="1" applyFont="1" applyFill="1" applyBorder="1" applyAlignment="1">
      <alignment horizontal="right"/>
    </xf>
    <xf numFmtId="0" fontId="5" fillId="5" borderId="0" xfId="6" applyFont="1" applyBorder="1" applyAlignment="1">
      <alignment horizontal="right"/>
    </xf>
    <xf numFmtId="0" fontId="29" fillId="3" borderId="0" xfId="4" applyFont="1" applyBorder="1" applyAlignment="1">
      <alignment horizontal="right"/>
    </xf>
    <xf numFmtId="0" fontId="11" fillId="0" borderId="4" xfId="0" applyFont="1" applyBorder="1"/>
    <xf numFmtId="0" fontId="21" fillId="0" borderId="4" xfId="0" applyFont="1" applyBorder="1"/>
    <xf numFmtId="3" fontId="4" fillId="0" borderId="2" xfId="0" applyNumberFormat="1" applyFont="1" applyBorder="1" applyAlignment="1">
      <alignment horizontal="center"/>
    </xf>
    <xf numFmtId="3" fontId="4" fillId="0" borderId="6" xfId="0" applyNumberFormat="1" applyFont="1" applyBorder="1" applyAlignment="1">
      <alignment horizontal="center"/>
    </xf>
    <xf numFmtId="3" fontId="4" fillId="0" borderId="1" xfId="0" applyNumberFormat="1" applyFont="1" applyBorder="1" applyAlignment="1">
      <alignment horizontal="center"/>
    </xf>
    <xf numFmtId="3" fontId="4" fillId="0" borderId="3" xfId="0" applyNumberFormat="1" applyFont="1" applyBorder="1" applyAlignment="1">
      <alignment horizontal="center"/>
    </xf>
    <xf numFmtId="3" fontId="4" fillId="0" borderId="1" xfId="0" applyNumberFormat="1" applyFont="1" applyBorder="1" applyAlignment="1">
      <alignment horizontal="center" wrapText="1"/>
    </xf>
    <xf numFmtId="3" fontId="4" fillId="0" borderId="3" xfId="0" applyNumberFormat="1" applyFont="1" applyBorder="1" applyAlignment="1">
      <alignment horizontal="center" wrapText="1"/>
    </xf>
    <xf numFmtId="3" fontId="4" fillId="0" borderId="9" xfId="0" applyNumberFormat="1" applyFont="1" applyBorder="1" applyAlignment="1">
      <alignment horizontal="center"/>
    </xf>
    <xf numFmtId="0" fontId="16" fillId="0" borderId="2" xfId="0" applyFont="1" applyBorder="1" applyAlignment="1">
      <alignment horizontal="center"/>
    </xf>
    <xf numFmtId="0" fontId="16" fillId="0" borderId="1" xfId="0" applyFont="1" applyBorder="1" applyAlignment="1">
      <alignment horizontal="center"/>
    </xf>
    <xf numFmtId="0" fontId="16" fillId="0" borderId="3" xfId="0" applyFont="1" applyBorder="1" applyAlignment="1">
      <alignment horizontal="center"/>
    </xf>
    <xf numFmtId="0" fontId="16" fillId="0" borderId="1" xfId="0" applyFont="1" applyBorder="1" applyAlignment="1">
      <alignment horizontal="center" wrapText="1"/>
    </xf>
    <xf numFmtId="0" fontId="16" fillId="0" borderId="3" xfId="0" applyFont="1" applyBorder="1" applyAlignment="1">
      <alignment horizontal="center" wrapText="1"/>
    </xf>
    <xf numFmtId="0" fontId="16" fillId="0" borderId="6" xfId="0" applyFont="1" applyBorder="1" applyAlignment="1">
      <alignment horizontal="center"/>
    </xf>
    <xf numFmtId="0" fontId="16" fillId="0" borderId="9"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4" fillId="0" borderId="3" xfId="0" applyFont="1" applyBorder="1" applyAlignment="1">
      <alignment horizontal="center"/>
    </xf>
    <xf numFmtId="0" fontId="4" fillId="0" borderId="1" xfId="0" applyFont="1" applyBorder="1" applyAlignment="1">
      <alignment horizontal="center" wrapText="1"/>
    </xf>
    <xf numFmtId="0" fontId="4" fillId="0" borderId="3" xfId="0" applyFont="1" applyBorder="1" applyAlignment="1">
      <alignment horizontal="center" wrapText="1"/>
    </xf>
    <xf numFmtId="0" fontId="16" fillId="0" borderId="13" xfId="0" applyFont="1" applyBorder="1" applyAlignment="1">
      <alignment horizontal="center"/>
    </xf>
    <xf numFmtId="0" fontId="16" fillId="0" borderId="16" xfId="0" applyFont="1" applyBorder="1" applyAlignment="1">
      <alignment horizontal="center"/>
    </xf>
    <xf numFmtId="0" fontId="16" fillId="0" borderId="17" xfId="0" applyFont="1" applyBorder="1" applyAlignment="1">
      <alignment horizontal="center"/>
    </xf>
    <xf numFmtId="0" fontId="5" fillId="0" borderId="0" xfId="0" applyFont="1" applyAlignment="1">
      <alignment horizontal="left"/>
    </xf>
    <xf numFmtId="0" fontId="5" fillId="0" borderId="4" xfId="0" applyFont="1" applyBorder="1" applyAlignment="1">
      <alignment horizontal="left"/>
    </xf>
    <xf numFmtId="3" fontId="16" fillId="0" borderId="2" xfId="0" applyNumberFormat="1" applyFont="1" applyBorder="1" applyAlignment="1">
      <alignment horizontal="center"/>
    </xf>
    <xf numFmtId="3" fontId="16" fillId="0" borderId="1" xfId="0" applyNumberFormat="1" applyFont="1" applyBorder="1" applyAlignment="1">
      <alignment horizontal="center"/>
    </xf>
    <xf numFmtId="3" fontId="16" fillId="0" borderId="3" xfId="0" applyNumberFormat="1" applyFont="1" applyBorder="1" applyAlignment="1">
      <alignment horizontal="center"/>
    </xf>
    <xf numFmtId="3" fontId="16" fillId="0" borderId="13" xfId="0" applyNumberFormat="1" applyFont="1" applyBorder="1" applyAlignment="1">
      <alignment horizontal="center"/>
    </xf>
    <xf numFmtId="3" fontId="16" fillId="0" borderId="7" xfId="0" applyNumberFormat="1" applyFont="1" applyBorder="1" applyAlignment="1">
      <alignment horizontal="center"/>
    </xf>
    <xf numFmtId="0" fontId="13" fillId="0" borderId="9" xfId="0" applyFont="1" applyBorder="1" applyAlignment="1">
      <alignment horizontal="left"/>
    </xf>
    <xf numFmtId="0" fontId="13" fillId="0" borderId="2" xfId="0" applyFont="1" applyBorder="1" applyAlignment="1">
      <alignment horizontal="left"/>
    </xf>
    <xf numFmtId="0" fontId="13" fillId="0" borderId="6" xfId="0" applyFont="1" applyBorder="1" applyAlignment="1">
      <alignment horizontal="left"/>
    </xf>
    <xf numFmtId="3" fontId="16" fillId="0" borderId="6" xfId="0" applyNumberFormat="1" applyFont="1" applyBorder="1" applyAlignment="1">
      <alignment horizontal="center"/>
    </xf>
    <xf numFmtId="0" fontId="5" fillId="0" borderId="16" xfId="0" applyFont="1" applyBorder="1" applyAlignment="1">
      <alignment horizontal="left"/>
    </xf>
    <xf numFmtId="0" fontId="5" fillId="0" borderId="1" xfId="0" applyFont="1" applyBorder="1" applyAlignment="1">
      <alignment horizontal="left"/>
    </xf>
    <xf numFmtId="0" fontId="5" fillId="0" borderId="13" xfId="0" applyFont="1" applyBorder="1" applyAlignment="1">
      <alignment horizontal="left"/>
    </xf>
    <xf numFmtId="0" fontId="5" fillId="0" borderId="11" xfId="0" applyFont="1" applyBorder="1" applyAlignment="1">
      <alignment horizontal="left"/>
    </xf>
    <xf numFmtId="0" fontId="5" fillId="7" borderId="11" xfId="0" applyFont="1" applyFill="1" applyBorder="1" applyAlignment="1">
      <alignment horizontal="left"/>
    </xf>
    <xf numFmtId="0" fontId="5" fillId="7" borderId="0" xfId="0" applyFont="1" applyFill="1" applyAlignment="1">
      <alignment horizontal="left"/>
    </xf>
    <xf numFmtId="0" fontId="5" fillId="7" borderId="4" xfId="0" applyFont="1" applyFill="1" applyBorder="1" applyAlignment="1">
      <alignment horizontal="left"/>
    </xf>
    <xf numFmtId="0" fontId="4" fillId="0" borderId="17" xfId="0" applyFont="1" applyBorder="1" applyAlignment="1">
      <alignment horizontal="center" wrapText="1"/>
    </xf>
    <xf numFmtId="0" fontId="4" fillId="0" borderId="9" xfId="0" applyFont="1" applyBorder="1" applyAlignment="1">
      <alignment horizontal="center" wrapText="1"/>
    </xf>
    <xf numFmtId="0" fontId="2" fillId="0" borderId="13" xfId="0" applyFont="1" applyBorder="1" applyAlignment="1">
      <alignment horizontal="center"/>
    </xf>
    <xf numFmtId="0" fontId="2" fillId="0" borderId="8" xfId="0" applyFont="1" applyBorder="1" applyAlignment="1">
      <alignment horizontal="center"/>
    </xf>
    <xf numFmtId="0" fontId="25" fillId="0" borderId="0" xfId="0" applyFont="1" applyAlignment="1">
      <alignment horizontal="center" vertical="center"/>
    </xf>
    <xf numFmtId="0" fontId="4" fillId="9" borderId="12" xfId="0" applyFont="1" applyFill="1" applyBorder="1" applyAlignment="1">
      <alignment horizontal="center"/>
    </xf>
    <xf numFmtId="0" fontId="4" fillId="8" borderId="12" xfId="0" applyFont="1" applyFill="1" applyBorder="1" applyAlignment="1">
      <alignment horizontal="center"/>
    </xf>
    <xf numFmtId="0" fontId="5" fillId="0" borderId="36" xfId="0" applyFont="1" applyBorder="1" applyAlignment="1">
      <alignment horizontal="center" vertical="center"/>
    </xf>
    <xf numFmtId="0" fontId="5" fillId="0" borderId="18" xfId="0" applyFont="1" applyBorder="1" applyAlignment="1">
      <alignment horizontal="center" vertical="center"/>
    </xf>
    <xf numFmtId="0" fontId="5" fillId="0" borderId="35" xfId="0" applyFont="1" applyBorder="1" applyAlignment="1">
      <alignment horizontal="center" vertical="center"/>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34" xfId="0" applyFont="1" applyBorder="1" applyAlignment="1">
      <alignment horizontal="center" vertical="center"/>
    </xf>
    <xf numFmtId="0" fontId="26" fillId="0" borderId="26" xfId="0" applyFont="1" applyBorder="1" applyAlignment="1">
      <alignment horizontal="center" vertical="center"/>
    </xf>
    <xf numFmtId="0" fontId="26" fillId="0" borderId="29" xfId="0" applyFont="1" applyBorder="1" applyAlignment="1">
      <alignment horizontal="center" vertical="center"/>
    </xf>
    <xf numFmtId="0" fontId="17" fillId="0" borderId="49" xfId="0" applyFont="1" applyBorder="1" applyAlignment="1">
      <alignment horizontal="center" vertical="center"/>
    </xf>
    <xf numFmtId="0" fontId="17" fillId="0" borderId="46" xfId="0" applyFont="1" applyBorder="1" applyAlignment="1">
      <alignment horizontal="center" vertical="center"/>
    </xf>
    <xf numFmtId="0" fontId="4" fillId="0" borderId="47"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1" xfId="0" applyFont="1" applyBorder="1" applyAlignment="1">
      <alignment horizontal="center" vertical="center" wrapText="1"/>
    </xf>
  </cellXfs>
  <cellStyles count="7">
    <cellStyle name="20 % – uthevingsfarge 1" xfId="5" builtinId="30"/>
    <cellStyle name="40 % – uthevingsfarge 5" xfId="6" builtinId="47"/>
    <cellStyle name="God" xfId="4" builtinId="26"/>
    <cellStyle name="Hyperkobling" xfId="2" builtinId="8"/>
    <cellStyle name="Komma" xfId="1" builtinId="3"/>
    <cellStyle name="Normal" xfId="0" builtinId="0"/>
    <cellStyle name="Prosent" xfId="3" builtinId="5"/>
  </cellStyles>
  <dxfs count="0"/>
  <tableStyles count="0" defaultTableStyle="TableStyleMedium2" defaultPivotStyle="PivotStyleLight16"/>
  <colors>
    <mruColors>
      <color rgb="FFE5A9E1"/>
      <color rgb="FF9D2F95"/>
      <color rgb="FFAFEC34"/>
      <color rgb="FFFFC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Fitwi Wolday" id="{2D92193E-5A90-4643-A3AC-A7BCC06A76C2}" userId="S::fitwi.wolday@toi.no::a9fd2d0b-771e-4fb9-900a-d1d243e2a95d" providerId="AD"/>
</personList>
</file>

<file path=xl/theme/theme1.xml><?xml version="1.0" encoding="utf-8"?>
<a:theme xmlns:a="http://schemas.openxmlformats.org/drawingml/2006/main" name="TØI">
  <a:themeElements>
    <a:clrScheme name="TØI">
      <a:dk1>
        <a:sysClr val="windowText" lastClr="000000"/>
      </a:dk1>
      <a:lt1>
        <a:sysClr val="window" lastClr="FFFFFF"/>
      </a:lt1>
      <a:dk2>
        <a:srgbClr val="7B715E"/>
      </a:dk2>
      <a:lt2>
        <a:srgbClr val="E7E5E1"/>
      </a:lt2>
      <a:accent1>
        <a:srgbClr val="3F868D"/>
      </a:accent1>
      <a:accent2>
        <a:srgbClr val="C5CC8E"/>
      </a:accent2>
      <a:accent3>
        <a:srgbClr val="D3741C"/>
      </a:accent3>
      <a:accent4>
        <a:srgbClr val="FFE271"/>
      </a:accent4>
      <a:accent5>
        <a:srgbClr val="8BC9DD"/>
      </a:accent5>
      <a:accent6>
        <a:srgbClr val="336699"/>
      </a:accent6>
      <a:hlink>
        <a:srgbClr val="336699"/>
      </a:hlink>
      <a:folHlink>
        <a:srgbClr val="777777"/>
      </a:folHlink>
    </a:clrScheme>
    <a:fontScheme name="TØI">
      <a:majorFont>
        <a:latin typeface="Arial"/>
        <a:ea typeface=""/>
        <a:cs typeface=""/>
      </a:majorFont>
      <a:minorFont>
        <a:latin typeface="Garamond"/>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3" dT="2024-10-30T07:45:14.58" personId="{2D92193E-5A90-4643-A3AC-A7BCC06A76C2}" id="{6B6A9FDB-D893-4C82-A2B1-E3E7764F6BDA}">
    <text>(Økonomi inkluderer ferje)</text>
  </threadedComment>
  <threadedComment ref="V3" dT="2024-10-30T07:45:14.58" personId="{2D92193E-5A90-4643-A3AC-A7BCC06A76C2}" id="{A19E7B82-262C-4507-87E0-4A5339D7AB7A}">
    <text>(Økonomi inkluderer ferje)</text>
  </threadedComment>
  <threadedComment ref="AI3" dT="2024-10-30T07:45:14.58" personId="{2D92193E-5A90-4643-A3AC-A7BCC06A76C2}" id="{4410301E-9F47-4C5E-9D63-367715C50492}">
    <text>(Økonomi inkluderer ferje)</text>
  </threadedComment>
  <threadedComment ref="AV3" dT="2024-10-30T07:45:14.58" personId="{2D92193E-5A90-4643-A3AC-A7BCC06A76C2}" id="{06A5AE17-0B7C-4D41-898E-E16460DC2AD8}">
    <text>(Økonomi inkluderer ferje)</text>
  </threadedComment>
  <threadedComment ref="BI3" dT="2024-10-30T07:45:14.58" personId="{2D92193E-5A90-4643-A3AC-A7BCC06A76C2}" id="{7E0E58B2-E934-41DF-995B-FC634A0994E4}">
    <text>(Økonomi inkluderer ferje)</text>
  </threadedComment>
  <threadedComment ref="G4" dT="2024-07-10T13:34:45.06" personId="{2D92193E-5A90-4643-A3AC-A7BCC06A76C2}" id="{F9D9F23A-47D6-4B16-86D3-F51B9CD70C87}">
    <text>2019 tall for båt mangler</text>
  </threadedComment>
  <threadedComment ref="BM4" dT="2024-07-10T14:36:26.52" personId="{2D92193E-5A90-4643-A3AC-A7BCC06A76C2}" id="{688884C0-9C77-4013-ACC1-826E296CAF41}">
    <text>Buss + båt</text>
  </threadedComment>
  <threadedComment ref="N17" dT="2024-10-14T08:15:20.61" personId="{2D92193E-5A90-4643-A3AC-A7BCC06A76C2}" id="{17216626-1F78-4653-9E09-DD8595642A4A}">
    <text>Rapportert kun driftskostnader</text>
  </threadedComment>
</ThreadedComments>
</file>

<file path=xl/threadedComments/threadedComment2.xml><?xml version="1.0" encoding="utf-8"?>
<ThreadedComments xmlns="http://schemas.microsoft.com/office/spreadsheetml/2018/threadedcomments" xmlns:x="http://schemas.openxmlformats.org/spreadsheetml/2006/main">
  <threadedComment ref="I3" dT="2024-10-30T07:45:14.58" personId="{2D92193E-5A90-4643-A3AC-A7BCC06A76C2}" id="{F10BDBC7-1EA5-44C6-BE1E-8E264E9547E5}">
    <text>(Økonomi inkluderer ferje)</text>
  </threadedComment>
  <threadedComment ref="V3" dT="2024-10-30T07:45:14.58" personId="{2D92193E-5A90-4643-A3AC-A7BCC06A76C2}" id="{A80D2817-6A64-425B-885D-7B1088279D79}">
    <text>(Økonomi inkluderer ferje)</text>
  </threadedComment>
  <threadedComment ref="AI3" dT="2024-10-30T07:45:14.58" personId="{2D92193E-5A90-4643-A3AC-A7BCC06A76C2}" id="{0F2C3105-2D7F-4109-86E7-E606F61EC0C7}">
    <text>(Økonomi inkluderer ferje)</text>
  </threadedComment>
  <threadedComment ref="AV3" dT="2024-10-30T07:45:14.58" personId="{2D92193E-5A90-4643-A3AC-A7BCC06A76C2}" id="{D911A0CA-93B4-466F-9B4E-69E98C612DEC}">
    <text>(Økonomi inkluderer ferje)</text>
  </threadedComment>
  <threadedComment ref="BI3" dT="2024-10-30T07:45:14.58" personId="{2D92193E-5A90-4643-A3AC-A7BCC06A76C2}" id="{7AD4EB97-BE62-4FD7-95C9-C3046E848F7F}">
    <text>(Økonomi inkluderer ferje)</text>
  </threadedComment>
  <threadedComment ref="L10" dT="2024-08-20T09:52:00.14" personId="{2D92193E-5A90-4643-A3AC-A7BCC06A76C2}" id="{980A291B-4EF3-4235-9291-B9235E9FA419}">
    <text>Rapporterer samlet for båt og buss for hele serien</text>
  </threadedComment>
  <threadedComment ref="N18" dT="2024-10-08T09:54:57.57" personId="{2D92193E-5A90-4643-A3AC-A7BCC06A76C2}" id="{DD8613F4-8F7C-4BF4-A877-6D0F2291964B}">
    <text>Ikke oppgitt for hele serien</text>
  </threadedComment>
  <threadedComment ref="O18" dT="2024-10-08T09:56:19.70" personId="{2D92193E-5A90-4643-A3AC-A7BCC06A76C2}" id="{EED7365F-06F2-4741-8B19-E1D7715D0C68}">
    <text>Tall oppgitt på materiale er altfor store til å være riktig. Gjelder hele serien (2019-2023)</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FC272-8419-4ABB-BAC3-F2C7D6787B79}">
  <sheetPr>
    <tabColor rgb="FF92D050"/>
  </sheetPr>
  <dimension ref="A1:BO46"/>
  <sheetViews>
    <sheetView workbookViewId="0">
      <pane xSplit="2" ySplit="3" topLeftCell="BC16" activePane="bottomRight" state="frozen"/>
      <selection activeCell="C45" sqref="C45"/>
      <selection pane="topRight" activeCell="C45" sqref="C45"/>
      <selection pane="bottomLeft" activeCell="C45" sqref="C45"/>
      <selection pane="bottomRight" activeCell="BK24" sqref="BK24"/>
    </sheetView>
  </sheetViews>
  <sheetFormatPr baseColWidth="10" defaultColWidth="11.42578125" defaultRowHeight="12" x14ac:dyDescent="0.2"/>
  <cols>
    <col min="1" max="1" width="3.42578125" style="4" customWidth="1"/>
    <col min="2" max="2" width="31.28515625" style="19" customWidth="1"/>
    <col min="3" max="3" width="14.140625" style="34" customWidth="1"/>
    <col min="4" max="4" width="11.85546875" style="34" customWidth="1"/>
    <col min="5" max="5" width="13.85546875" style="34" customWidth="1"/>
    <col min="6" max="6" width="12.85546875" style="34" customWidth="1"/>
    <col min="7" max="7" width="12.42578125" style="34" customWidth="1"/>
    <col min="8" max="8" width="15.85546875" style="34" customWidth="1"/>
    <col min="9" max="9" width="15.5703125" style="34" customWidth="1"/>
    <col min="10" max="10" width="11.85546875" style="34" customWidth="1"/>
    <col min="11" max="11" width="13.5703125" style="34" customWidth="1"/>
    <col min="12" max="12" width="11.42578125" style="34" customWidth="1"/>
    <col min="13" max="13" width="12.85546875" style="34" customWidth="1"/>
    <col min="14" max="15" width="11.85546875" style="34" customWidth="1"/>
    <col min="16" max="16" width="13.140625" style="34" customWidth="1"/>
    <col min="17" max="17" width="11.85546875" style="34" customWidth="1"/>
    <col min="18" max="18" width="12.140625" style="34" customWidth="1"/>
    <col min="19" max="19" width="11.5703125" style="34" customWidth="1"/>
    <col min="20" max="20" width="12.140625" style="34" customWidth="1"/>
    <col min="21" max="21" width="15.28515625" style="34" customWidth="1"/>
    <col min="22" max="22" width="13.85546875" style="34" customWidth="1"/>
    <col min="23" max="23" width="12.85546875" style="34" customWidth="1"/>
    <col min="24" max="24" width="12.7109375" style="34" bestFit="1" customWidth="1"/>
    <col min="25" max="25" width="12.85546875" style="34" customWidth="1"/>
    <col min="26" max="26" width="12.140625" style="34" customWidth="1"/>
    <col min="27" max="27" width="11.85546875" style="34" customWidth="1"/>
    <col min="28" max="28" width="12.140625" style="34" customWidth="1"/>
    <col min="29" max="29" width="13.85546875" style="34" customWidth="1"/>
    <col min="30" max="30" width="11.85546875" style="34" customWidth="1"/>
    <col min="31" max="31" width="12.140625" style="34" customWidth="1"/>
    <col min="32" max="32" width="11.5703125" style="34" customWidth="1"/>
    <col min="33" max="33" width="12.140625" style="34" customWidth="1"/>
    <col min="34" max="34" width="14.140625" style="34" customWidth="1"/>
    <col min="35" max="37" width="12.7109375" style="34" bestFit="1" customWidth="1"/>
    <col min="38" max="39" width="12.140625" style="34" customWidth="1"/>
    <col min="40" max="40" width="11.85546875" style="34" customWidth="1"/>
    <col min="41" max="41" width="12.140625" style="34" customWidth="1"/>
    <col min="42" max="42" width="13.140625" style="34" customWidth="1"/>
    <col min="43" max="43" width="11.85546875" style="34" customWidth="1"/>
    <col min="44" max="46" width="12.140625" style="34" customWidth="1"/>
    <col min="47" max="47" width="14.140625" style="34" customWidth="1"/>
    <col min="48" max="50" width="12.7109375" style="34" bestFit="1" customWidth="1"/>
    <col min="51" max="52" width="12.140625" style="34" customWidth="1"/>
    <col min="53" max="53" width="11.85546875" style="34" customWidth="1"/>
    <col min="54" max="54" width="12.140625" style="34" customWidth="1"/>
    <col min="55" max="55" width="13.140625" style="34" customWidth="1"/>
    <col min="56" max="56" width="11.85546875" style="34" customWidth="1"/>
    <col min="57" max="57" width="12.140625" style="34" customWidth="1"/>
    <col min="58" max="58" width="11.5703125" style="34" customWidth="1"/>
    <col min="59" max="59" width="12.140625" style="34" customWidth="1"/>
    <col min="60" max="60" width="14.140625" style="34" customWidth="1"/>
    <col min="61" max="63" width="12.7109375" style="34" bestFit="1" customWidth="1"/>
    <col min="64" max="65" width="11.42578125" style="34" bestFit="1" customWidth="1"/>
    <col min="66" max="66" width="12.7109375" style="34" bestFit="1" customWidth="1"/>
    <col min="67" max="67" width="11.28515625" style="34" customWidth="1"/>
    <col min="68" max="16384" width="11.42578125" style="4"/>
  </cols>
  <sheetData>
    <row r="1" spans="1:67" ht="18.75" x14ac:dyDescent="0.3">
      <c r="B1" s="301" t="s">
        <v>115</v>
      </c>
      <c r="D1" s="302"/>
      <c r="E1" s="302"/>
      <c r="F1" s="302"/>
      <c r="G1" s="302"/>
      <c r="H1" s="302"/>
      <c r="I1" s="302"/>
      <c r="J1" s="302"/>
      <c r="K1" s="302"/>
      <c r="L1" s="302"/>
      <c r="M1" s="302"/>
      <c r="N1" s="302"/>
      <c r="O1" s="302"/>
      <c r="P1" s="302">
        <v>1000</v>
      </c>
      <c r="Q1" s="302"/>
      <c r="R1" s="302"/>
      <c r="S1" s="302"/>
      <c r="T1" s="302"/>
      <c r="U1" s="302"/>
      <c r="V1" s="302"/>
      <c r="W1" s="302"/>
      <c r="X1" s="302"/>
      <c r="Y1" s="302"/>
      <c r="Z1" s="302"/>
      <c r="AA1" s="302"/>
      <c r="AB1" s="302"/>
      <c r="AC1" s="302"/>
      <c r="AD1" s="302"/>
      <c r="AE1" s="302"/>
      <c r="AF1" s="302"/>
      <c r="AG1" s="302"/>
      <c r="AH1" s="302"/>
      <c r="AI1" s="302"/>
      <c r="AJ1" s="302"/>
      <c r="AK1" s="302"/>
      <c r="AL1" s="302"/>
      <c r="AM1" s="302"/>
      <c r="AN1" s="302"/>
      <c r="AO1" s="302"/>
      <c r="AP1" s="302"/>
      <c r="AQ1" s="302"/>
      <c r="AR1" s="302"/>
      <c r="AS1" s="302"/>
      <c r="AT1" s="302"/>
      <c r="AU1" s="302"/>
      <c r="AV1" s="302"/>
      <c r="AW1" s="302"/>
      <c r="AX1" s="302"/>
      <c r="AY1" s="302"/>
      <c r="AZ1" s="302"/>
      <c r="BA1" s="302"/>
      <c r="BB1" s="302"/>
      <c r="BC1" s="302"/>
      <c r="BD1" s="302"/>
      <c r="BE1" s="302"/>
      <c r="BF1" s="302"/>
      <c r="BG1" s="302"/>
      <c r="BH1" s="302"/>
      <c r="BI1" s="302"/>
      <c r="BJ1" s="302"/>
      <c r="BK1" s="302"/>
      <c r="BL1" s="302"/>
      <c r="BM1" s="302"/>
      <c r="BN1" s="302"/>
      <c r="BO1" s="302"/>
    </row>
    <row r="2" spans="1:67" s="303" customFormat="1" x14ac:dyDescent="0.2">
      <c r="A2" s="361" t="s">
        <v>0</v>
      </c>
      <c r="B2" s="363" t="s">
        <v>1</v>
      </c>
      <c r="C2" s="359">
        <v>2019</v>
      </c>
      <c r="D2" s="359"/>
      <c r="E2" s="359"/>
      <c r="F2" s="359"/>
      <c r="G2" s="359"/>
      <c r="H2" s="359"/>
      <c r="I2" s="359"/>
      <c r="J2" s="359"/>
      <c r="K2" s="359"/>
      <c r="L2" s="359"/>
      <c r="M2" s="359"/>
      <c r="N2" s="359"/>
      <c r="O2" s="360"/>
      <c r="P2" s="365">
        <v>2020</v>
      </c>
      <c r="Q2" s="359"/>
      <c r="R2" s="359"/>
      <c r="S2" s="359"/>
      <c r="T2" s="359"/>
      <c r="U2" s="359"/>
      <c r="V2" s="359"/>
      <c r="W2" s="359"/>
      <c r="X2" s="359"/>
      <c r="Y2" s="359"/>
      <c r="Z2" s="359"/>
      <c r="AA2" s="359"/>
      <c r="AB2" s="360"/>
      <c r="AC2" s="359">
        <v>2021</v>
      </c>
      <c r="AD2" s="359"/>
      <c r="AE2" s="359"/>
      <c r="AF2" s="359"/>
      <c r="AG2" s="359"/>
      <c r="AH2" s="359"/>
      <c r="AI2" s="359"/>
      <c r="AJ2" s="359"/>
      <c r="AK2" s="359"/>
      <c r="AL2" s="359"/>
      <c r="AM2" s="359"/>
      <c r="AN2" s="359"/>
      <c r="AO2" s="360"/>
      <c r="AP2" s="359">
        <v>2022</v>
      </c>
      <c r="AQ2" s="359"/>
      <c r="AR2" s="359"/>
      <c r="AS2" s="359"/>
      <c r="AT2" s="359"/>
      <c r="AU2" s="359"/>
      <c r="AV2" s="359"/>
      <c r="AW2" s="359"/>
      <c r="AX2" s="359"/>
      <c r="AY2" s="359"/>
      <c r="AZ2" s="359"/>
      <c r="BA2" s="359"/>
      <c r="BB2" s="359"/>
      <c r="BC2" s="359">
        <v>2023</v>
      </c>
      <c r="BD2" s="359"/>
      <c r="BE2" s="359"/>
      <c r="BF2" s="359"/>
      <c r="BG2" s="359"/>
      <c r="BH2" s="359"/>
      <c r="BI2" s="359"/>
      <c r="BJ2" s="359"/>
      <c r="BK2" s="359"/>
      <c r="BL2" s="359"/>
      <c r="BM2" s="359"/>
      <c r="BN2" s="359"/>
      <c r="BO2" s="360"/>
    </row>
    <row r="3" spans="1:67" s="305" customFormat="1" ht="26.25" customHeight="1" thickBot="1" x14ac:dyDescent="0.25">
      <c r="A3" s="362"/>
      <c r="B3" s="364"/>
      <c r="C3" s="141" t="s">
        <v>206</v>
      </c>
      <c r="D3" s="141" t="s">
        <v>3</v>
      </c>
      <c r="E3" s="141" t="s">
        <v>4</v>
      </c>
      <c r="F3" s="66" t="s">
        <v>201</v>
      </c>
      <c r="G3" s="141" t="s">
        <v>5</v>
      </c>
      <c r="H3" s="141" t="s">
        <v>202</v>
      </c>
      <c r="I3" s="141" t="s">
        <v>203</v>
      </c>
      <c r="J3" s="141" t="s">
        <v>204</v>
      </c>
      <c r="K3" s="141" t="s">
        <v>205</v>
      </c>
      <c r="L3" s="141" t="s">
        <v>8</v>
      </c>
      <c r="M3" s="141" t="s">
        <v>60</v>
      </c>
      <c r="N3" s="141" t="s">
        <v>98</v>
      </c>
      <c r="O3" s="304" t="s">
        <v>9</v>
      </c>
      <c r="P3" s="141" t="s">
        <v>206</v>
      </c>
      <c r="Q3" s="141" t="s">
        <v>3</v>
      </c>
      <c r="R3" s="141" t="s">
        <v>4</v>
      </c>
      <c r="S3" s="66" t="s">
        <v>201</v>
      </c>
      <c r="T3" s="141" t="s">
        <v>5</v>
      </c>
      <c r="U3" s="141" t="s">
        <v>202</v>
      </c>
      <c r="V3" s="141" t="s">
        <v>203</v>
      </c>
      <c r="W3" s="141" t="s">
        <v>204</v>
      </c>
      <c r="X3" s="141" t="s">
        <v>205</v>
      </c>
      <c r="Y3" s="141" t="s">
        <v>8</v>
      </c>
      <c r="Z3" s="141" t="s">
        <v>60</v>
      </c>
      <c r="AA3" s="141" t="s">
        <v>98</v>
      </c>
      <c r="AB3" s="304" t="s">
        <v>9</v>
      </c>
      <c r="AC3" s="141" t="s">
        <v>206</v>
      </c>
      <c r="AD3" s="141" t="s">
        <v>3</v>
      </c>
      <c r="AE3" s="141" t="s">
        <v>4</v>
      </c>
      <c r="AF3" s="66" t="s">
        <v>201</v>
      </c>
      <c r="AG3" s="141" t="s">
        <v>5</v>
      </c>
      <c r="AH3" s="141" t="s">
        <v>202</v>
      </c>
      <c r="AI3" s="141" t="s">
        <v>203</v>
      </c>
      <c r="AJ3" s="141" t="s">
        <v>204</v>
      </c>
      <c r="AK3" s="141" t="s">
        <v>205</v>
      </c>
      <c r="AL3" s="141" t="s">
        <v>8</v>
      </c>
      <c r="AM3" s="141" t="s">
        <v>60</v>
      </c>
      <c r="AN3" s="141" t="s">
        <v>98</v>
      </c>
      <c r="AO3" s="304" t="s">
        <v>9</v>
      </c>
      <c r="AP3" s="141" t="s">
        <v>206</v>
      </c>
      <c r="AQ3" s="141" t="s">
        <v>3</v>
      </c>
      <c r="AR3" s="141" t="s">
        <v>4</v>
      </c>
      <c r="AS3" s="66" t="s">
        <v>201</v>
      </c>
      <c r="AT3" s="141" t="s">
        <v>5</v>
      </c>
      <c r="AU3" s="141" t="s">
        <v>202</v>
      </c>
      <c r="AV3" s="141" t="s">
        <v>203</v>
      </c>
      <c r="AW3" s="141" t="s">
        <v>204</v>
      </c>
      <c r="AX3" s="141" t="s">
        <v>205</v>
      </c>
      <c r="AY3" s="141" t="s">
        <v>8</v>
      </c>
      <c r="AZ3" s="141" t="s">
        <v>60</v>
      </c>
      <c r="BA3" s="141" t="s">
        <v>98</v>
      </c>
      <c r="BB3" s="304" t="s">
        <v>9</v>
      </c>
      <c r="BC3" s="141" t="s">
        <v>206</v>
      </c>
      <c r="BD3" s="141" t="s">
        <v>3</v>
      </c>
      <c r="BE3" s="141" t="s">
        <v>4</v>
      </c>
      <c r="BF3" s="66" t="s">
        <v>201</v>
      </c>
      <c r="BG3" s="141" t="s">
        <v>5</v>
      </c>
      <c r="BH3" s="141" t="s">
        <v>202</v>
      </c>
      <c r="BI3" s="141" t="s">
        <v>203</v>
      </c>
      <c r="BJ3" s="141" t="s">
        <v>204</v>
      </c>
      <c r="BK3" s="141" t="s">
        <v>205</v>
      </c>
      <c r="BL3" s="141" t="s">
        <v>8</v>
      </c>
      <c r="BM3" s="141" t="s">
        <v>60</v>
      </c>
      <c r="BN3" s="141" t="s">
        <v>98</v>
      </c>
      <c r="BO3" s="304" t="s">
        <v>9</v>
      </c>
    </row>
    <row r="4" spans="1:67" x14ac:dyDescent="0.2">
      <c r="A4" s="4">
        <v>1</v>
      </c>
      <c r="B4" s="306" t="s">
        <v>10</v>
      </c>
      <c r="C4" s="307">
        <v>122218293.02525622</v>
      </c>
      <c r="D4" s="307">
        <v>5763529</v>
      </c>
      <c r="E4" s="308">
        <f>21652674</f>
        <v>21652674</v>
      </c>
      <c r="F4" s="308">
        <v>11962948</v>
      </c>
      <c r="G4" s="309">
        <v>20271447</v>
      </c>
      <c r="H4" s="310">
        <v>13231957</v>
      </c>
      <c r="I4" s="310">
        <v>21626263</v>
      </c>
      <c r="J4" s="307"/>
      <c r="K4" s="311">
        <v>28610746.685556803</v>
      </c>
      <c r="L4" s="307">
        <v>18678575</v>
      </c>
      <c r="M4" s="311">
        <v>18416031</v>
      </c>
      <c r="N4" s="307">
        <v>15828560</v>
      </c>
      <c r="O4" s="312">
        <v>13184600</v>
      </c>
      <c r="P4" s="307">
        <v>124279508.61901945</v>
      </c>
      <c r="Q4" s="307">
        <v>5549545</v>
      </c>
      <c r="R4" s="310">
        <v>19624375</v>
      </c>
      <c r="S4" s="313">
        <v>11702983</v>
      </c>
      <c r="T4" s="307">
        <v>19684522</v>
      </c>
      <c r="U4" s="310">
        <v>12996274</v>
      </c>
      <c r="V4" s="310">
        <v>23089448</v>
      </c>
      <c r="W4" s="349">
        <v>47770605</v>
      </c>
      <c r="X4" s="307">
        <v>29846659.609000001</v>
      </c>
      <c r="Y4" s="314">
        <v>18948988</v>
      </c>
      <c r="Z4" s="307">
        <v>18308551</v>
      </c>
      <c r="AA4" s="307">
        <v>15164896</v>
      </c>
      <c r="AB4" s="312">
        <v>13496844</v>
      </c>
      <c r="AC4" s="307">
        <v>129137223.63164397</v>
      </c>
      <c r="AD4" s="307">
        <v>5733821</v>
      </c>
      <c r="AE4" s="307">
        <v>20960528</v>
      </c>
      <c r="AF4" s="307">
        <v>10280950</v>
      </c>
      <c r="AG4" s="307">
        <v>19780124</v>
      </c>
      <c r="AH4" s="307">
        <v>12680898</v>
      </c>
      <c r="AI4" s="315">
        <v>24342599</v>
      </c>
      <c r="AJ4" s="350">
        <v>43672538</v>
      </c>
      <c r="AK4" s="307">
        <v>30938349.111600004</v>
      </c>
      <c r="AL4" s="307">
        <v>19639903</v>
      </c>
      <c r="AM4" s="307">
        <v>18228686</v>
      </c>
      <c r="AN4" s="307">
        <v>13921740</v>
      </c>
      <c r="AO4" s="316">
        <v>13704395</v>
      </c>
      <c r="AP4" s="307">
        <v>128800000.00000001</v>
      </c>
      <c r="AQ4" s="307">
        <v>5728118</v>
      </c>
      <c r="AR4" s="307">
        <v>21129827</v>
      </c>
      <c r="AS4" s="307">
        <v>10477909</v>
      </c>
      <c r="AT4" s="307">
        <v>19704268</v>
      </c>
      <c r="AU4" s="307">
        <v>12540464</v>
      </c>
      <c r="AV4" s="307">
        <v>24020337</v>
      </c>
      <c r="AW4" s="350">
        <v>49794104</v>
      </c>
      <c r="AX4" s="350">
        <v>30662137.732999999</v>
      </c>
      <c r="AY4" s="307">
        <v>18993246</v>
      </c>
      <c r="AZ4" s="307">
        <v>17564685</v>
      </c>
      <c r="BA4" s="307">
        <v>14092067</v>
      </c>
      <c r="BB4" s="316">
        <v>13143478</v>
      </c>
      <c r="BC4" s="308">
        <v>127203302.47969422</v>
      </c>
      <c r="BD4" s="308">
        <v>5225139</v>
      </c>
      <c r="BE4" s="308">
        <v>21915452</v>
      </c>
      <c r="BF4" s="308">
        <v>10550432</v>
      </c>
      <c r="BG4" s="308">
        <v>19796428</v>
      </c>
      <c r="BH4" s="308">
        <v>12320279</v>
      </c>
      <c r="BI4" s="308">
        <v>24764972</v>
      </c>
      <c r="BJ4" s="352">
        <v>51253105</v>
      </c>
      <c r="BK4" s="352">
        <v>30948567.280000005</v>
      </c>
      <c r="BL4" s="308">
        <v>19197770</v>
      </c>
      <c r="BM4" s="308">
        <v>17141571</v>
      </c>
      <c r="BN4" s="308">
        <v>14039921</v>
      </c>
      <c r="BO4" s="316">
        <v>14382132</v>
      </c>
    </row>
    <row r="5" spans="1:67" x14ac:dyDescent="0.2">
      <c r="A5" s="4">
        <v>2</v>
      </c>
      <c r="B5" s="317" t="s">
        <v>11</v>
      </c>
      <c r="C5" s="307">
        <v>5657000000</v>
      </c>
      <c r="D5" s="307">
        <v>238214139</v>
      </c>
      <c r="E5" s="308" t="s">
        <v>30</v>
      </c>
      <c r="F5" s="308">
        <v>514406764</v>
      </c>
      <c r="G5" s="309">
        <v>773372092</v>
      </c>
      <c r="H5" s="310">
        <f>45.67*H4</f>
        <v>604303476.19000006</v>
      </c>
      <c r="I5" s="310">
        <v>1061362788</v>
      </c>
      <c r="J5" s="307"/>
      <c r="K5" s="311">
        <v>1417287790.527056</v>
      </c>
      <c r="L5" s="307">
        <v>743644720</v>
      </c>
      <c r="M5" s="311">
        <v>891061691.72000003</v>
      </c>
      <c r="N5" s="307">
        <v>673310483</v>
      </c>
      <c r="O5" s="316">
        <v>611023476</v>
      </c>
      <c r="P5" s="307">
        <v>5614348002.8806648</v>
      </c>
      <c r="Q5" s="307">
        <v>228660884</v>
      </c>
      <c r="R5" s="310">
        <v>617202987</v>
      </c>
      <c r="S5" s="313">
        <v>503228269</v>
      </c>
      <c r="T5" s="307">
        <v>760389321</v>
      </c>
      <c r="U5" s="310">
        <f>45.67*U4</f>
        <v>593539833.58000004</v>
      </c>
      <c r="V5" s="310">
        <v>1102281625</v>
      </c>
      <c r="W5" s="349">
        <v>2260635339</v>
      </c>
      <c r="X5" s="307">
        <v>1465982666.6820002</v>
      </c>
      <c r="Y5" s="309">
        <v>834161793</v>
      </c>
      <c r="Z5" s="307">
        <v>886225091.72000003</v>
      </c>
      <c r="AA5" s="307">
        <v>642343096</v>
      </c>
      <c r="AB5" s="316">
        <v>636031472</v>
      </c>
      <c r="AC5" s="307">
        <v>5876629650.3157921</v>
      </c>
      <c r="AD5" s="307">
        <v>235109523</v>
      </c>
      <c r="AE5" s="307">
        <v>678200512</v>
      </c>
      <c r="AF5" s="307">
        <v>442080850</v>
      </c>
      <c r="AG5" s="307">
        <v>766747816</v>
      </c>
      <c r="AH5" s="307">
        <v>579136611.65999997</v>
      </c>
      <c r="AI5" s="315">
        <v>1184717986</v>
      </c>
      <c r="AJ5" s="350">
        <v>2087284545</v>
      </c>
      <c r="AK5" s="307">
        <v>1524516234.997</v>
      </c>
      <c r="AL5" s="307">
        <v>863448032</v>
      </c>
      <c r="AM5" s="307">
        <v>875328578.72000003</v>
      </c>
      <c r="AN5" s="307">
        <v>592758055</v>
      </c>
      <c r="AO5" s="316">
        <v>644333512</v>
      </c>
      <c r="AP5" s="307">
        <v>5868636608.8705187</v>
      </c>
      <c r="AQ5" s="307">
        <v>229671205</v>
      </c>
      <c r="AR5" s="307">
        <v>687265662</v>
      </c>
      <c r="AS5" s="307">
        <v>450550087</v>
      </c>
      <c r="AT5" s="307">
        <v>764780517</v>
      </c>
      <c r="AU5" s="307">
        <v>587028994</v>
      </c>
      <c r="AV5" s="307">
        <v>1136593382</v>
      </c>
      <c r="AW5" s="350">
        <v>2441511941</v>
      </c>
      <c r="AX5" s="350">
        <v>1511065121.0309999</v>
      </c>
      <c r="AY5" s="307">
        <v>834995124</v>
      </c>
      <c r="AZ5" s="307">
        <v>844116617.72000003</v>
      </c>
      <c r="BA5" s="307">
        <v>591745862</v>
      </c>
      <c r="BB5" s="316">
        <v>620201120</v>
      </c>
      <c r="BC5" s="308">
        <v>5804828948.5463934</v>
      </c>
      <c r="BD5" s="308">
        <v>227793932</v>
      </c>
      <c r="BE5" s="308">
        <v>680682837</v>
      </c>
      <c r="BF5" s="308">
        <v>453668576</v>
      </c>
      <c r="BG5" s="308">
        <v>768098277</v>
      </c>
      <c r="BH5" s="308">
        <v>581437252</v>
      </c>
      <c r="BI5" s="308">
        <v>1098697694</v>
      </c>
      <c r="BJ5" s="352">
        <v>2729200218</v>
      </c>
      <c r="BK5" s="352">
        <v>1463476468.4800005</v>
      </c>
      <c r="BL5" s="308">
        <v>843994180</v>
      </c>
      <c r="BM5" s="308">
        <v>821456900.72000003</v>
      </c>
      <c r="BN5" s="308">
        <v>594364995</v>
      </c>
      <c r="BO5" s="316">
        <v>670348139</v>
      </c>
    </row>
    <row r="6" spans="1:67" x14ac:dyDescent="0.2">
      <c r="A6" s="4">
        <v>3</v>
      </c>
      <c r="B6" s="318" t="s">
        <v>12</v>
      </c>
      <c r="C6" s="307">
        <v>356225082.01797539</v>
      </c>
      <c r="D6" s="307">
        <v>1651721</v>
      </c>
      <c r="E6" s="308">
        <v>11299106</v>
      </c>
      <c r="F6" s="308">
        <v>10192372</v>
      </c>
      <c r="G6" s="309">
        <v>16640161</v>
      </c>
      <c r="H6" s="310">
        <v>12625254</v>
      </c>
      <c r="I6" s="310">
        <v>28077222</v>
      </c>
      <c r="J6" s="307"/>
      <c r="K6" s="311">
        <v>42563894</v>
      </c>
      <c r="L6" s="307">
        <v>19041103</v>
      </c>
      <c r="M6" s="311">
        <v>6512523</v>
      </c>
      <c r="N6" s="307">
        <v>8502272</v>
      </c>
      <c r="O6" s="316">
        <v>13073587</v>
      </c>
      <c r="P6" s="307">
        <v>216826904.9472999</v>
      </c>
      <c r="Q6" s="307">
        <v>1255973</v>
      </c>
      <c r="R6" s="310">
        <v>7529929</v>
      </c>
      <c r="S6" s="313">
        <f>6906859+134660</f>
        <v>7041519</v>
      </c>
      <c r="T6" s="307">
        <v>11881819</v>
      </c>
      <c r="U6" s="310">
        <v>8832030</v>
      </c>
      <c r="V6" s="310">
        <v>21156061</v>
      </c>
      <c r="W6" s="349">
        <v>17593600</v>
      </c>
      <c r="X6" s="307">
        <v>30025672</v>
      </c>
      <c r="Y6" s="309">
        <v>14445095</v>
      </c>
      <c r="Z6" s="307">
        <v>4464151</v>
      </c>
      <c r="AA6" s="307">
        <v>5894474</v>
      </c>
      <c r="AB6" s="316">
        <v>10876357</v>
      </c>
      <c r="AC6" s="307">
        <v>223177422.48560974</v>
      </c>
      <c r="AD6" s="307">
        <v>927953</v>
      </c>
      <c r="AE6" s="307">
        <v>8417101</v>
      </c>
      <c r="AF6" s="307">
        <v>6741987</v>
      </c>
      <c r="AG6" s="307">
        <v>11489997</v>
      </c>
      <c r="AH6" s="307">
        <v>9125123</v>
      </c>
      <c r="AI6" s="315">
        <v>24334968</v>
      </c>
      <c r="AJ6" s="350">
        <v>60886000</v>
      </c>
      <c r="AK6" s="307">
        <v>34571925.509999998</v>
      </c>
      <c r="AL6" s="307">
        <v>14852422</v>
      </c>
      <c r="AM6" s="307">
        <v>4295612</v>
      </c>
      <c r="AN6" s="307">
        <v>6179008</v>
      </c>
      <c r="AO6" s="316">
        <v>12342405</v>
      </c>
      <c r="AP6" s="307">
        <v>304810583.32804537</v>
      </c>
      <c r="AQ6" s="307">
        <v>1036625</v>
      </c>
      <c r="AR6" s="307">
        <v>9764547</v>
      </c>
      <c r="AS6" s="307">
        <v>7362125</v>
      </c>
      <c r="AT6" s="307">
        <v>14496271</v>
      </c>
      <c r="AU6" s="307">
        <v>11222273</v>
      </c>
      <c r="AV6" s="307">
        <v>30305195</v>
      </c>
      <c r="AW6" s="350">
        <v>78523000</v>
      </c>
      <c r="AX6" s="350">
        <v>42840505</v>
      </c>
      <c r="AY6" s="307">
        <v>18373665</v>
      </c>
      <c r="AZ6" s="307">
        <v>5190958</v>
      </c>
      <c r="BA6" s="307">
        <v>6829656</v>
      </c>
      <c r="BB6" s="316">
        <v>15254066</v>
      </c>
      <c r="BC6" s="308">
        <v>343274250.04503179</v>
      </c>
      <c r="BD6" s="308">
        <v>1576489</v>
      </c>
      <c r="BE6" s="308">
        <v>10717629</v>
      </c>
      <c r="BF6" s="308">
        <v>8837379</v>
      </c>
      <c r="BG6" s="308">
        <v>16316074</v>
      </c>
      <c r="BH6" s="308">
        <v>12054762</v>
      </c>
      <c r="BI6" s="308">
        <v>35900588</v>
      </c>
      <c r="BJ6" s="352">
        <v>89121000</v>
      </c>
      <c r="BK6" s="352">
        <v>48905148</v>
      </c>
      <c r="BL6" s="308">
        <v>20899661.5</v>
      </c>
      <c r="BM6" s="308">
        <v>6807993</v>
      </c>
      <c r="BN6" s="308">
        <v>7846224</v>
      </c>
      <c r="BO6" s="316">
        <v>18077840</v>
      </c>
    </row>
    <row r="7" spans="1:67" x14ac:dyDescent="0.2">
      <c r="A7" s="4">
        <v>4</v>
      </c>
      <c r="B7" s="319" t="s">
        <v>13</v>
      </c>
      <c r="C7" s="307">
        <v>2364973782.1685405</v>
      </c>
      <c r="D7" s="307">
        <v>49325343</v>
      </c>
      <c r="E7" s="308">
        <f>91374000+90309024</f>
        <v>181683024</v>
      </c>
      <c r="F7" s="308">
        <v>68963335</v>
      </c>
      <c r="G7" s="309">
        <v>166522950.69999999</v>
      </c>
      <c r="H7" s="310">
        <f>H6*11.46</f>
        <v>144685410.84</v>
      </c>
      <c r="I7" s="310">
        <v>169090417</v>
      </c>
      <c r="J7" s="307"/>
      <c r="K7" s="311">
        <v>482677243.15181839</v>
      </c>
      <c r="L7" s="307">
        <v>177408109</v>
      </c>
      <c r="M7" s="311">
        <v>62791161.059234507</v>
      </c>
      <c r="N7" s="307">
        <v>102559505</v>
      </c>
      <c r="O7" s="316">
        <v>181493029</v>
      </c>
      <c r="P7" s="307">
        <v>1313479974.856775</v>
      </c>
      <c r="Q7" s="307">
        <v>35915372</v>
      </c>
      <c r="R7" s="310">
        <v>81882629</v>
      </c>
      <c r="S7" s="313">
        <v>57469446</v>
      </c>
      <c r="T7" s="307">
        <v>116635290.79999998</v>
      </c>
      <c r="U7" s="310">
        <f>U6*14.1</f>
        <v>124531623</v>
      </c>
      <c r="V7" s="310">
        <v>162671978</v>
      </c>
      <c r="W7" s="349">
        <v>419359930</v>
      </c>
      <c r="X7" s="307">
        <v>338560696.94770229</v>
      </c>
      <c r="Y7" s="309">
        <v>135548853</v>
      </c>
      <c r="Z7" s="307">
        <v>42994697.731166467</v>
      </c>
      <c r="AA7" s="307">
        <v>75172175</v>
      </c>
      <c r="AB7" s="316">
        <v>147485845</v>
      </c>
      <c r="AC7" s="307">
        <v>1397871801.1993449</v>
      </c>
      <c r="AD7" s="307">
        <v>30215025</v>
      </c>
      <c r="AE7" s="307">
        <v>90938676</v>
      </c>
      <c r="AF7" s="307">
        <v>55170668</v>
      </c>
      <c r="AG7" s="307">
        <v>112133722</v>
      </c>
      <c r="AH7" s="307">
        <v>125363959</v>
      </c>
      <c r="AI7" s="315">
        <v>158319819</v>
      </c>
      <c r="AJ7" s="350">
        <v>488308234</v>
      </c>
      <c r="AK7" s="307">
        <v>386856454.61297989</v>
      </c>
      <c r="AL7" s="307">
        <v>139285331</v>
      </c>
      <c r="AM7" s="307">
        <v>41142492.614823818</v>
      </c>
      <c r="AN7" s="307">
        <v>76824960</v>
      </c>
      <c r="AO7" s="316">
        <v>153303353</v>
      </c>
      <c r="AP7" s="307">
        <v>1422000000</v>
      </c>
      <c r="AQ7" s="307">
        <v>32815525</v>
      </c>
      <c r="AR7" s="307">
        <v>105247093</v>
      </c>
      <c r="AS7" s="307">
        <v>66954694</v>
      </c>
      <c r="AT7" s="307">
        <v>143300692.5</v>
      </c>
      <c r="AU7" s="307">
        <v>139436996</v>
      </c>
      <c r="AV7" s="307">
        <v>193328180</v>
      </c>
      <c r="AW7" s="350">
        <v>574196869</v>
      </c>
      <c r="AX7" s="350">
        <v>354316662.05727577</v>
      </c>
      <c r="AY7" s="307">
        <v>173048423.90000001</v>
      </c>
      <c r="AZ7" s="307">
        <v>48980582.556500606</v>
      </c>
      <c r="BA7" s="307">
        <v>82033290</v>
      </c>
      <c r="BB7" s="316">
        <v>155693573</v>
      </c>
      <c r="BC7" s="308">
        <v>1561722033.543895</v>
      </c>
      <c r="BD7" s="308">
        <v>35601295</v>
      </c>
      <c r="BE7" s="308">
        <v>114646625</v>
      </c>
      <c r="BF7" s="308">
        <v>69665328</v>
      </c>
      <c r="BG7" s="308">
        <v>161573727.40000001</v>
      </c>
      <c r="BH7" s="308">
        <v>138019045</v>
      </c>
      <c r="BI7" s="308">
        <v>211495379</v>
      </c>
      <c r="BJ7" s="352">
        <v>666733872</v>
      </c>
      <c r="BK7" s="352">
        <v>544641700.49099994</v>
      </c>
      <c r="BL7" s="308">
        <v>189815195.95000002</v>
      </c>
      <c r="BM7" s="308">
        <v>63199727</v>
      </c>
      <c r="BN7" s="308">
        <v>93732285</v>
      </c>
      <c r="BO7" s="316">
        <v>170483164</v>
      </c>
    </row>
    <row r="8" spans="1:67" x14ac:dyDescent="0.2">
      <c r="A8" s="4">
        <v>5</v>
      </c>
      <c r="B8" s="317" t="s">
        <v>14</v>
      </c>
      <c r="C8" s="307">
        <v>10727716510.487736</v>
      </c>
      <c r="D8" s="307" t="s">
        <v>28</v>
      </c>
      <c r="E8" s="308" t="s">
        <v>30</v>
      </c>
      <c r="F8" s="308">
        <v>765628672</v>
      </c>
      <c r="G8" s="309">
        <v>1637001290</v>
      </c>
      <c r="H8" s="310">
        <f>H4*9502</f>
        <v>125730055414</v>
      </c>
      <c r="I8" s="310">
        <v>1061362788</v>
      </c>
      <c r="J8" s="307"/>
      <c r="K8" s="311">
        <v>2493131910.3901486</v>
      </c>
      <c r="L8" s="307">
        <v>1137962399</v>
      </c>
      <c r="M8" s="311">
        <v>1503061691.72</v>
      </c>
      <c r="N8" s="307"/>
      <c r="O8" s="316">
        <v>106102796</v>
      </c>
      <c r="P8" s="307">
        <v>11959565287.310072</v>
      </c>
      <c r="Q8" s="320" t="s">
        <v>28</v>
      </c>
      <c r="R8" s="310">
        <f>R5*1.5</f>
        <v>925804480.5</v>
      </c>
      <c r="S8" s="313">
        <f>64*S4</f>
        <v>748990912</v>
      </c>
      <c r="T8" s="307">
        <v>1685918588</v>
      </c>
      <c r="U8" s="310">
        <f>U4*9502</f>
        <v>123490595548</v>
      </c>
      <c r="V8" s="310">
        <v>1102281625</v>
      </c>
      <c r="W8" s="349">
        <v>4003298843.1400013</v>
      </c>
      <c r="X8" s="307">
        <v>2594388469.21</v>
      </c>
      <c r="Y8" s="309">
        <v>1154607668</v>
      </c>
      <c r="Z8" s="307">
        <v>1494570771.72</v>
      </c>
      <c r="AA8" s="307">
        <v>0</v>
      </c>
      <c r="AB8" s="316">
        <v>118717152</v>
      </c>
      <c r="AC8" s="307">
        <v>12366400381.842501</v>
      </c>
      <c r="AD8" s="307" t="s">
        <v>28</v>
      </c>
      <c r="AE8" s="307">
        <v>1017300768</v>
      </c>
      <c r="AF8" s="307">
        <v>657980800</v>
      </c>
      <c r="AG8" s="307">
        <v>1728734504</v>
      </c>
      <c r="AH8" s="307">
        <v>120493892796</v>
      </c>
      <c r="AI8" s="315">
        <v>1184717986</v>
      </c>
      <c r="AJ8" s="350">
        <v>4219946006</v>
      </c>
      <c r="AK8" s="307">
        <v>2566268686.7489805</v>
      </c>
      <c r="AL8" s="307">
        <v>1196753483</v>
      </c>
      <c r="AM8" s="307">
        <v>1483393044.72</v>
      </c>
      <c r="AN8" s="307">
        <v>0</v>
      </c>
      <c r="AO8" s="316">
        <v>118717152</v>
      </c>
      <c r="AP8" s="307">
        <v>12336000000</v>
      </c>
      <c r="AQ8" s="307" t="s">
        <v>28</v>
      </c>
      <c r="AR8" s="307">
        <v>1030898493</v>
      </c>
      <c r="AS8" s="307">
        <v>670586176</v>
      </c>
      <c r="AT8" s="307">
        <v>1731666888</v>
      </c>
      <c r="AU8" s="307">
        <v>119159488928</v>
      </c>
      <c r="AV8" s="307">
        <v>1136593382</v>
      </c>
      <c r="AW8" s="350">
        <v>4862539761.7849998</v>
      </c>
      <c r="AX8" s="350">
        <v>2544338507.3309999</v>
      </c>
      <c r="AY8" s="307">
        <v>1157307406</v>
      </c>
      <c r="AZ8" s="307">
        <v>1430049021.72</v>
      </c>
      <c r="BA8" s="307">
        <v>0</v>
      </c>
      <c r="BB8" s="316">
        <v>118717152</v>
      </c>
      <c r="BC8" s="308">
        <v>12213346387.167723</v>
      </c>
      <c r="BD8" s="308" t="s">
        <v>28</v>
      </c>
      <c r="BE8" s="308">
        <v>1021024255.5</v>
      </c>
      <c r="BF8" s="308">
        <v>675227648</v>
      </c>
      <c r="BG8" s="308">
        <v>1738118088</v>
      </c>
      <c r="BH8" s="308">
        <v>117067291058</v>
      </c>
      <c r="BI8" s="308">
        <v>1098697694</v>
      </c>
      <c r="BJ8" s="352">
        <v>5275278309</v>
      </c>
      <c r="BK8" s="352">
        <v>2566884974.0370007</v>
      </c>
      <c r="BL8" s="308">
        <v>1169783370</v>
      </c>
      <c r="BM8" s="308">
        <v>1393169246.72</v>
      </c>
      <c r="BN8" s="308">
        <v>0</v>
      </c>
      <c r="BO8" s="316">
        <v>117135059</v>
      </c>
    </row>
    <row r="9" spans="1:67" x14ac:dyDescent="0.2">
      <c r="A9" s="4">
        <v>6</v>
      </c>
      <c r="B9" s="317" t="s">
        <v>15</v>
      </c>
      <c r="C9" s="307">
        <v>140551036.97904462</v>
      </c>
      <c r="D9" s="307">
        <v>6572505.6999999993</v>
      </c>
      <c r="E9" s="308" t="s">
        <v>30</v>
      </c>
      <c r="F9" s="308">
        <v>13757390.199999999</v>
      </c>
      <c r="G9" s="309">
        <v>23312164.049999997</v>
      </c>
      <c r="H9" s="310">
        <f>H4*1.15</f>
        <v>15216750.549999999</v>
      </c>
      <c r="I9" s="310">
        <v>21626263</v>
      </c>
      <c r="J9" s="307"/>
      <c r="K9" s="311">
        <v>32681667.728040319</v>
      </c>
      <c r="L9" s="307">
        <v>21480361.249999996</v>
      </c>
      <c r="M9" s="311">
        <v>21116031</v>
      </c>
      <c r="N9" s="307"/>
      <c r="O9" s="316">
        <v>15078052.549999999</v>
      </c>
      <c r="P9" s="307">
        <v>142921434.91187236</v>
      </c>
      <c r="Q9" s="307">
        <v>6326155.1499999994</v>
      </c>
      <c r="R9" s="310">
        <f>R4*1.15</f>
        <v>22568031.25</v>
      </c>
      <c r="S9" s="313">
        <f>+S4*1.15</f>
        <v>13458430.449999999</v>
      </c>
      <c r="T9" s="307">
        <v>22637199.849999998</v>
      </c>
      <c r="U9" s="310">
        <f>U4*1.15</f>
        <v>14945715.1</v>
      </c>
      <c r="V9" s="310">
        <v>23089448</v>
      </c>
      <c r="W9" s="349">
        <v>54936195.75</v>
      </c>
      <c r="X9" s="307">
        <v>34121835.895000003</v>
      </c>
      <c r="Y9" s="309">
        <v>21791336.199999999</v>
      </c>
      <c r="Z9" s="307">
        <v>20992429</v>
      </c>
      <c r="AA9" s="307">
        <v>0</v>
      </c>
      <c r="AB9" s="316">
        <v>15436772.699999999</v>
      </c>
      <c r="AC9" s="307">
        <v>148507807.17639053</v>
      </c>
      <c r="AD9" s="307">
        <v>6540397.5499999998</v>
      </c>
      <c r="AE9" s="307">
        <v>24104607.199999999</v>
      </c>
      <c r="AF9" s="307">
        <v>11823092.5</v>
      </c>
      <c r="AG9" s="307">
        <v>22747143</v>
      </c>
      <c r="AH9" s="307">
        <v>14583032.699999999</v>
      </c>
      <c r="AI9" s="315">
        <v>24342599</v>
      </c>
      <c r="AJ9" s="350">
        <v>50223418.700000003</v>
      </c>
      <c r="AK9" s="307">
        <v>35373043.597890005</v>
      </c>
      <c r="AL9" s="307">
        <v>22585888.449999999</v>
      </c>
      <c r="AM9" s="307">
        <v>20911323.349999998</v>
      </c>
      <c r="AN9" s="307">
        <v>0</v>
      </c>
      <c r="AO9" s="316">
        <v>15675456.35</v>
      </c>
      <c r="AP9" s="307">
        <v>148120000</v>
      </c>
      <c r="AQ9" s="307">
        <v>6534345.6499999994</v>
      </c>
      <c r="AR9" s="307">
        <v>24299301.049999997</v>
      </c>
      <c r="AS9" s="307">
        <v>12049595.35</v>
      </c>
      <c r="AT9" s="307">
        <v>22659907.75</v>
      </c>
      <c r="AU9" s="307">
        <v>14421533.6</v>
      </c>
      <c r="AV9" s="307">
        <v>24020337</v>
      </c>
      <c r="AW9" s="350">
        <v>57263219.599999994</v>
      </c>
      <c r="AX9" s="350">
        <v>35058985.883000001</v>
      </c>
      <c r="AY9" s="307">
        <v>21842232.899999999</v>
      </c>
      <c r="AZ9" s="307">
        <v>20149680.899999999</v>
      </c>
      <c r="BA9" s="307">
        <v>0</v>
      </c>
      <c r="BB9" s="316">
        <v>15031607.199999999</v>
      </c>
      <c r="BC9" s="308">
        <v>146283797.85164833</v>
      </c>
      <c r="BD9" s="308">
        <v>5947768.9499999993</v>
      </c>
      <c r="BE9" s="308">
        <v>25202769.799999997</v>
      </c>
      <c r="BF9" s="308">
        <v>12132996.799999999</v>
      </c>
      <c r="BG9" s="308">
        <v>22765891.75</v>
      </c>
      <c r="BH9" s="308">
        <v>14168320.85</v>
      </c>
      <c r="BI9" s="308">
        <v>24764972</v>
      </c>
      <c r="BJ9" s="352">
        <v>58941070.749999993</v>
      </c>
      <c r="BK9" s="352">
        <v>35393202.758500002</v>
      </c>
      <c r="BL9" s="308">
        <v>22077435.5</v>
      </c>
      <c r="BM9" s="308">
        <v>19663831.349999998</v>
      </c>
      <c r="BN9" s="308">
        <v>0</v>
      </c>
      <c r="BO9" s="316">
        <v>16456681.049999999</v>
      </c>
    </row>
    <row r="10" spans="1:67" x14ac:dyDescent="0.2">
      <c r="A10" s="4">
        <v>7</v>
      </c>
      <c r="B10" s="135" t="s">
        <v>16</v>
      </c>
      <c r="C10" s="34">
        <v>2953364000</v>
      </c>
      <c r="D10" s="34">
        <v>230000000</v>
      </c>
      <c r="E10" s="35">
        <v>709600000</v>
      </c>
      <c r="F10" s="35">
        <v>409800000</v>
      </c>
      <c r="G10" s="38"/>
      <c r="H10" s="36">
        <f>434299998</f>
        <v>434299998</v>
      </c>
      <c r="I10" s="36">
        <v>886714253</v>
      </c>
      <c r="K10" s="37">
        <v>796735000</v>
      </c>
      <c r="L10" s="34">
        <f>258218000+182767000</f>
        <v>440985000</v>
      </c>
      <c r="M10" s="34">
        <v>505019000</v>
      </c>
      <c r="N10" s="34">
        <v>755864005</v>
      </c>
      <c r="O10" s="40">
        <v>348813706.13980246</v>
      </c>
      <c r="P10" s="39">
        <v>5244076000</v>
      </c>
      <c r="Q10" s="34">
        <v>417595984</v>
      </c>
      <c r="R10" s="34">
        <v>704362600</v>
      </c>
      <c r="S10" s="4">
        <v>450800000</v>
      </c>
      <c r="T10" s="34">
        <v>618507202</v>
      </c>
      <c r="U10" s="36">
        <v>456215983</v>
      </c>
      <c r="V10" s="36">
        <v>1046629152</v>
      </c>
      <c r="W10" s="133">
        <v>1857031605</v>
      </c>
      <c r="X10" s="37">
        <v>851344000</v>
      </c>
      <c r="Y10" s="34">
        <v>470651988</v>
      </c>
      <c r="Z10" s="34">
        <v>626654000</v>
      </c>
      <c r="AA10" s="34">
        <v>822929690</v>
      </c>
      <c r="AB10" s="40">
        <v>363344577.39857966</v>
      </c>
      <c r="AC10" s="34">
        <v>5244076000</v>
      </c>
      <c r="AD10" s="34">
        <v>426662697</v>
      </c>
      <c r="AE10" s="34">
        <v>700112334</v>
      </c>
      <c r="AF10" s="34">
        <v>421800000</v>
      </c>
      <c r="AG10" s="34">
        <v>612890494</v>
      </c>
      <c r="AH10" s="34">
        <v>462100000</v>
      </c>
      <c r="AI10" s="34">
        <v>1138360008</v>
      </c>
      <c r="AJ10" s="34">
        <v>1842344445</v>
      </c>
      <c r="AK10" s="34">
        <v>861949000</v>
      </c>
      <c r="AL10" s="34">
        <v>465955000</v>
      </c>
      <c r="AM10" s="34">
        <v>557553000</v>
      </c>
      <c r="AN10" s="277">
        <v>823112702</v>
      </c>
      <c r="AO10" s="40">
        <v>368512632.05740738</v>
      </c>
      <c r="AP10" s="34">
        <v>4561070000</v>
      </c>
      <c r="AQ10" s="34">
        <v>537243565</v>
      </c>
      <c r="AR10" s="34">
        <v>804484013</v>
      </c>
      <c r="AS10" s="34">
        <v>485500000</v>
      </c>
      <c r="AT10" s="34">
        <v>641444722</v>
      </c>
      <c r="AU10" s="34">
        <v>472263000</v>
      </c>
      <c r="AV10" s="34">
        <v>1241650000</v>
      </c>
      <c r="AW10" s="34">
        <v>1843226641</v>
      </c>
      <c r="AX10" s="34">
        <v>896029000</v>
      </c>
      <c r="AY10" s="34">
        <v>489227305</v>
      </c>
      <c r="AZ10" s="34">
        <v>605097000</v>
      </c>
      <c r="BA10" s="34">
        <v>845129855</v>
      </c>
      <c r="BB10" s="40">
        <v>387641871.88380808</v>
      </c>
      <c r="BC10" s="34">
        <v>5100710000</v>
      </c>
      <c r="BD10" s="34">
        <v>535381399</v>
      </c>
      <c r="BE10" s="34">
        <v>857528458</v>
      </c>
      <c r="BF10" s="34">
        <v>558400000</v>
      </c>
      <c r="BG10" s="34">
        <v>652362799</v>
      </c>
      <c r="BH10" s="34">
        <v>580900000</v>
      </c>
      <c r="BI10" s="34">
        <v>1325974000</v>
      </c>
      <c r="BJ10" s="34">
        <v>2081336469</v>
      </c>
      <c r="BK10" s="34">
        <v>1098575000</v>
      </c>
      <c r="BL10" s="34">
        <v>564362001</v>
      </c>
      <c r="BM10" s="34">
        <v>628508282.57999992</v>
      </c>
      <c r="BN10" s="34">
        <v>970040850</v>
      </c>
      <c r="BO10" s="40">
        <v>537225588.6996516</v>
      </c>
    </row>
    <row r="11" spans="1:67" x14ac:dyDescent="0.2">
      <c r="A11" s="4">
        <v>8</v>
      </c>
      <c r="B11" s="13" t="s">
        <v>17</v>
      </c>
      <c r="C11" s="34">
        <v>231742000</v>
      </c>
      <c r="D11" s="34">
        <v>0</v>
      </c>
      <c r="E11" s="35">
        <v>0</v>
      </c>
      <c r="F11" s="35">
        <v>49300000</v>
      </c>
      <c r="G11" s="38"/>
      <c r="H11" s="36">
        <v>0</v>
      </c>
      <c r="I11" s="36">
        <v>142179142</v>
      </c>
      <c r="K11" s="41">
        <v>0</v>
      </c>
      <c r="L11" s="34">
        <v>73000000</v>
      </c>
      <c r="M11" s="41"/>
      <c r="N11" s="34">
        <v>0</v>
      </c>
      <c r="O11" s="40">
        <v>36000000</v>
      </c>
      <c r="P11" s="39">
        <v>197729000</v>
      </c>
      <c r="R11" s="34">
        <v>0</v>
      </c>
      <c r="S11" s="4">
        <v>59400000</v>
      </c>
      <c r="T11" s="34">
        <v>50963243</v>
      </c>
      <c r="U11" s="36">
        <v>0</v>
      </c>
      <c r="V11" s="36">
        <v>216988542</v>
      </c>
      <c r="W11" s="133">
        <v>480593400</v>
      </c>
      <c r="X11" s="37">
        <v>0</v>
      </c>
      <c r="Y11" s="34">
        <v>74000000</v>
      </c>
      <c r="AA11" s="34">
        <v>0</v>
      </c>
      <c r="AB11" s="40">
        <v>50874000</v>
      </c>
      <c r="AC11" s="34">
        <v>197729000</v>
      </c>
      <c r="AE11" s="34" t="s">
        <v>31</v>
      </c>
      <c r="AF11" s="34">
        <v>38500000</v>
      </c>
      <c r="AG11" s="34">
        <v>56092800</v>
      </c>
      <c r="AH11" s="34">
        <v>0</v>
      </c>
      <c r="AI11" s="34">
        <v>329191389</v>
      </c>
      <c r="AJ11" s="34">
        <v>346127582</v>
      </c>
      <c r="AK11" s="34">
        <v>0</v>
      </c>
      <c r="AL11" s="34">
        <v>76000000</v>
      </c>
      <c r="AM11" s="34">
        <v>0</v>
      </c>
      <c r="AN11" s="277">
        <v>0</v>
      </c>
      <c r="AO11" s="40">
        <v>58115000</v>
      </c>
      <c r="AP11" s="34">
        <v>318916000</v>
      </c>
      <c r="AR11" s="34" t="s">
        <v>31</v>
      </c>
      <c r="AS11" s="34">
        <v>38900000</v>
      </c>
      <c r="AT11" s="34">
        <v>60389278</v>
      </c>
      <c r="AU11" s="34">
        <v>0</v>
      </c>
      <c r="AV11" s="34">
        <v>312877030</v>
      </c>
      <c r="AW11" s="34">
        <v>318300000</v>
      </c>
      <c r="AY11" s="34">
        <v>77375000</v>
      </c>
      <c r="AZ11" s="34">
        <v>0</v>
      </c>
      <c r="BA11" s="34">
        <v>0</v>
      </c>
      <c r="BB11" s="40">
        <v>89300000</v>
      </c>
      <c r="BC11" s="34">
        <v>219630000</v>
      </c>
      <c r="BE11" s="34">
        <v>0</v>
      </c>
      <c r="BF11" s="34">
        <v>43400000</v>
      </c>
      <c r="BG11" s="34">
        <v>83880419</v>
      </c>
      <c r="BH11" s="34">
        <v>0</v>
      </c>
      <c r="BI11" s="34">
        <v>348142574</v>
      </c>
      <c r="BJ11" s="34">
        <v>366600000</v>
      </c>
      <c r="BL11" s="34">
        <v>80725000</v>
      </c>
      <c r="BM11" s="34">
        <v>0</v>
      </c>
      <c r="BN11" s="34">
        <v>0</v>
      </c>
      <c r="BO11" s="40">
        <v>112499999.99999999</v>
      </c>
    </row>
    <row r="12" spans="1:67" x14ac:dyDescent="0.2">
      <c r="A12" s="4">
        <v>9</v>
      </c>
      <c r="B12" s="13" t="s">
        <v>18</v>
      </c>
      <c r="C12" s="34">
        <v>743708000</v>
      </c>
      <c r="D12" s="34">
        <v>0</v>
      </c>
      <c r="E12" s="35">
        <v>0</v>
      </c>
      <c r="F12" s="35"/>
      <c r="G12" s="38"/>
      <c r="H12" s="36">
        <v>49042165</v>
      </c>
      <c r="I12" s="36"/>
      <c r="K12" s="41">
        <v>0</v>
      </c>
      <c r="L12" s="34">
        <f>4628000+783182</f>
        <v>5411182</v>
      </c>
      <c r="M12" s="41"/>
      <c r="N12" s="34">
        <v>0</v>
      </c>
      <c r="O12" s="40">
        <v>9100000</v>
      </c>
      <c r="P12" s="39">
        <v>760883000</v>
      </c>
      <c r="Q12" s="34">
        <v>2900000</v>
      </c>
      <c r="R12" s="34">
        <v>62700000</v>
      </c>
      <c r="S12" s="4"/>
      <c r="T12" s="34">
        <v>81900000</v>
      </c>
      <c r="U12" s="36">
        <v>63852801</v>
      </c>
      <c r="V12" s="36">
        <v>140300000</v>
      </c>
      <c r="W12" s="133">
        <v>357800000</v>
      </c>
      <c r="X12" s="37">
        <v>0</v>
      </c>
      <c r="Y12" s="34">
        <f>4762149+46983092</f>
        <v>51745241</v>
      </c>
      <c r="Z12" s="34">
        <v>111300000</v>
      </c>
      <c r="AA12" s="34">
        <v>0</v>
      </c>
      <c r="AB12" s="40">
        <v>121700000</v>
      </c>
      <c r="AC12" s="34">
        <v>760883000</v>
      </c>
      <c r="AD12" s="34">
        <v>6149746</v>
      </c>
      <c r="AE12" s="34">
        <v>85200000</v>
      </c>
      <c r="AG12" s="34">
        <v>67100000</v>
      </c>
      <c r="AH12" s="34">
        <v>69315902</v>
      </c>
      <c r="AI12" s="34">
        <v>143642355</v>
      </c>
      <c r="AJ12" s="34">
        <v>347200000</v>
      </c>
      <c r="AK12" s="34">
        <v>0</v>
      </c>
      <c r="AL12" s="34">
        <v>61604853</v>
      </c>
      <c r="AM12" s="34">
        <v>44550000</v>
      </c>
      <c r="AN12" s="277">
        <v>0</v>
      </c>
      <c r="AO12" s="40">
        <v>91900000</v>
      </c>
      <c r="AP12" s="34">
        <v>878056000</v>
      </c>
      <c r="AQ12" s="34">
        <v>6149746</v>
      </c>
      <c r="AR12" s="34">
        <v>15800000</v>
      </c>
      <c r="AT12" s="34">
        <v>30489000</v>
      </c>
      <c r="AU12" s="34">
        <v>76479505</v>
      </c>
      <c r="AV12" s="34">
        <v>54200000</v>
      </c>
      <c r="AW12" s="34">
        <v>173737000</v>
      </c>
      <c r="AY12" s="34">
        <v>45450342</v>
      </c>
      <c r="AZ12" s="34">
        <v>62962000</v>
      </c>
      <c r="BA12" s="34">
        <v>0</v>
      </c>
      <c r="BB12" s="40">
        <v>48500000</v>
      </c>
      <c r="BC12" s="34">
        <v>904838089.94000006</v>
      </c>
      <c r="BD12" s="34">
        <v>0</v>
      </c>
      <c r="BE12" s="34">
        <v>0</v>
      </c>
      <c r="BG12" s="34">
        <v>20300000</v>
      </c>
      <c r="BH12" s="34">
        <v>89982232</v>
      </c>
      <c r="BI12" s="34">
        <v>59257645</v>
      </c>
      <c r="BJ12" s="34">
        <v>0</v>
      </c>
      <c r="BL12" s="34">
        <v>20020665</v>
      </c>
      <c r="BM12" s="34">
        <v>0</v>
      </c>
      <c r="BN12" s="34">
        <v>0</v>
      </c>
      <c r="BO12" s="40">
        <v>7000000</v>
      </c>
    </row>
    <row r="13" spans="1:67" x14ac:dyDescent="0.2">
      <c r="A13" s="4">
        <v>10</v>
      </c>
      <c r="B13" s="136" t="s">
        <v>29</v>
      </c>
      <c r="C13" s="34">
        <f>SUM(C10:C12)</f>
        <v>3928814000</v>
      </c>
      <c r="D13" s="34">
        <v>230000000</v>
      </c>
      <c r="E13" s="34">
        <f t="shared" ref="E13:BE13" si="0">SUM(E10:E12)</f>
        <v>709600000</v>
      </c>
      <c r="F13" s="34">
        <v>459100000</v>
      </c>
      <c r="G13" s="34">
        <f t="shared" si="0"/>
        <v>0</v>
      </c>
      <c r="H13" s="34">
        <f>SUM(H10:H12)</f>
        <v>483342163</v>
      </c>
      <c r="I13" s="34">
        <v>1028893395</v>
      </c>
      <c r="K13" s="34">
        <v>796735000</v>
      </c>
      <c r="L13" s="34">
        <f>SUM(L10:L12)</f>
        <v>519396182</v>
      </c>
      <c r="M13" s="34">
        <f>SUM(M10:M12)</f>
        <v>505019000</v>
      </c>
      <c r="N13" s="34">
        <v>755864005</v>
      </c>
      <c r="O13" s="34">
        <v>393913706.13980246</v>
      </c>
      <c r="P13" s="34">
        <f t="shared" si="0"/>
        <v>6202688000</v>
      </c>
      <c r="Q13" s="34">
        <v>420495984</v>
      </c>
      <c r="R13" s="34">
        <f t="shared" si="0"/>
        <v>767062600</v>
      </c>
      <c r="S13" s="4">
        <v>510200000</v>
      </c>
      <c r="T13" s="34">
        <f t="shared" si="0"/>
        <v>751370445</v>
      </c>
      <c r="U13" s="34">
        <f t="shared" si="0"/>
        <v>520068784</v>
      </c>
      <c r="V13" s="34">
        <v>1403917694</v>
      </c>
      <c r="W13" s="34">
        <v>2695425005</v>
      </c>
      <c r="X13" s="34">
        <v>851344000</v>
      </c>
      <c r="Y13" s="34">
        <f t="shared" si="0"/>
        <v>596397229</v>
      </c>
      <c r="Z13" s="34">
        <f t="shared" si="0"/>
        <v>737954000</v>
      </c>
      <c r="AA13" s="34">
        <v>822929690</v>
      </c>
      <c r="AB13" s="40">
        <v>535918577.39857966</v>
      </c>
      <c r="AC13" s="34">
        <f t="shared" si="0"/>
        <v>6202688000</v>
      </c>
      <c r="AD13" s="34">
        <v>432812443</v>
      </c>
      <c r="AE13" s="34">
        <f t="shared" si="0"/>
        <v>785312334</v>
      </c>
      <c r="AF13" s="34">
        <v>460300000</v>
      </c>
      <c r="AG13" s="34">
        <f t="shared" si="0"/>
        <v>736083294</v>
      </c>
      <c r="AH13" s="34">
        <f t="shared" si="0"/>
        <v>531415902</v>
      </c>
      <c r="AI13" s="34">
        <v>1611193752</v>
      </c>
      <c r="AJ13" s="34">
        <v>2535672027</v>
      </c>
      <c r="AK13" s="34">
        <v>861949000</v>
      </c>
      <c r="AL13" s="34">
        <v>603561874</v>
      </c>
      <c r="AM13" s="34">
        <f t="shared" si="0"/>
        <v>602103000</v>
      </c>
      <c r="AN13" s="277">
        <v>823112702</v>
      </c>
      <c r="AO13" s="40">
        <v>518527632.05740738</v>
      </c>
      <c r="AP13" s="34">
        <f t="shared" si="0"/>
        <v>5758042000</v>
      </c>
      <c r="AQ13" s="34">
        <v>543393311</v>
      </c>
      <c r="AR13" s="34">
        <f t="shared" si="0"/>
        <v>820284013</v>
      </c>
      <c r="AS13" s="34">
        <v>524400000</v>
      </c>
      <c r="AT13" s="34">
        <f t="shared" si="0"/>
        <v>732323000</v>
      </c>
      <c r="AU13" s="34">
        <f t="shared" si="0"/>
        <v>548742505</v>
      </c>
      <c r="AV13" s="34">
        <v>1608727030</v>
      </c>
      <c r="AW13" s="34">
        <v>2335263641</v>
      </c>
      <c r="AX13" s="34">
        <v>896029000</v>
      </c>
      <c r="AY13" s="34">
        <f>SUM(AY10:AY12)</f>
        <v>612052647</v>
      </c>
      <c r="AZ13" s="34">
        <f t="shared" si="0"/>
        <v>668059000</v>
      </c>
      <c r="BA13" s="34">
        <v>845129855</v>
      </c>
      <c r="BB13" s="40">
        <v>525441871.88380808</v>
      </c>
      <c r="BC13" s="34">
        <f>SUM(BC10:BC12)</f>
        <v>6225178089.9400005</v>
      </c>
      <c r="BD13" s="34">
        <v>535381399</v>
      </c>
      <c r="BE13" s="34">
        <f t="shared" si="0"/>
        <v>857528458</v>
      </c>
      <c r="BF13" s="34">
        <v>601800000</v>
      </c>
      <c r="BG13" s="34">
        <f>SUM(BG10:BG12)</f>
        <v>756543218</v>
      </c>
      <c r="BH13" s="34">
        <f>SUM(BH10:BH12)</f>
        <v>670882232</v>
      </c>
      <c r="BI13" s="34">
        <v>1733374219</v>
      </c>
      <c r="BJ13" s="34">
        <v>2447936469</v>
      </c>
      <c r="BK13" s="34">
        <v>1098575000</v>
      </c>
      <c r="BL13" s="34">
        <f>SUM(BL10:BL12)</f>
        <v>665107666</v>
      </c>
      <c r="BM13" s="34">
        <f>SUM(BM10:BM12)</f>
        <v>628508282.57999992</v>
      </c>
      <c r="BN13" s="34">
        <v>970040850</v>
      </c>
      <c r="BO13" s="40">
        <v>656725588.6996516</v>
      </c>
    </row>
    <row r="14" spans="1:67" x14ac:dyDescent="0.2">
      <c r="A14" s="4">
        <v>11</v>
      </c>
      <c r="B14" s="137" t="s">
        <v>19</v>
      </c>
      <c r="C14" s="34">
        <v>4670069000</v>
      </c>
      <c r="E14" s="38">
        <f>(105.4+157.5)*1000000</f>
        <v>262899999.99999997</v>
      </c>
      <c r="F14" s="38">
        <v>153200000</v>
      </c>
      <c r="G14" s="38"/>
      <c r="H14" s="133">
        <v>191542654</v>
      </c>
      <c r="I14" s="133">
        <v>454584154</v>
      </c>
      <c r="K14" s="37">
        <v>566309934.82142854</v>
      </c>
      <c r="L14" s="34">
        <v>196681412</v>
      </c>
      <c r="M14" s="34">
        <v>282195993.5</v>
      </c>
      <c r="N14" s="277">
        <v>239118931</v>
      </c>
      <c r="O14" s="40">
        <v>303275000</v>
      </c>
      <c r="P14" s="39">
        <v>2937818126</v>
      </c>
      <c r="Q14" s="34">
        <v>0</v>
      </c>
      <c r="R14" s="34">
        <v>194400000</v>
      </c>
      <c r="S14" s="4">
        <v>114500000</v>
      </c>
      <c r="T14" s="34">
        <v>155599356.1111111</v>
      </c>
      <c r="U14" s="133">
        <v>93815239</v>
      </c>
      <c r="V14" s="133">
        <v>369385406</v>
      </c>
      <c r="W14" s="133">
        <v>716477855</v>
      </c>
      <c r="X14" s="37">
        <v>356762188.39285713</v>
      </c>
      <c r="Y14" s="34">
        <v>155066877</v>
      </c>
      <c r="Z14" s="34">
        <v>186533441</v>
      </c>
      <c r="AA14" s="277">
        <v>164959281</v>
      </c>
      <c r="AB14" s="40">
        <v>219698999.99999997</v>
      </c>
      <c r="AC14" s="34">
        <v>2937818126</v>
      </c>
      <c r="AD14" s="34">
        <v>0</v>
      </c>
      <c r="AE14" s="34">
        <v>223405300</v>
      </c>
      <c r="AF14" s="34">
        <v>139200000</v>
      </c>
      <c r="AG14" s="34">
        <v>182744147.3255814</v>
      </c>
      <c r="AH14" s="34">
        <v>106252639</v>
      </c>
      <c r="AI14" s="34">
        <v>387108270</v>
      </c>
      <c r="AJ14" s="34">
        <v>791792311</v>
      </c>
      <c r="AK14" s="34">
        <v>357110518.74999994</v>
      </c>
      <c r="AL14" s="34">
        <v>165948774</v>
      </c>
      <c r="AM14" s="34">
        <v>208524765</v>
      </c>
      <c r="AN14" s="277">
        <v>177137523</v>
      </c>
      <c r="AO14" s="40">
        <v>218899999.99999997</v>
      </c>
      <c r="AP14" s="34">
        <v>4559690000</v>
      </c>
      <c r="AQ14" s="34">
        <v>0</v>
      </c>
      <c r="AR14" s="34">
        <v>273777503</v>
      </c>
      <c r="AS14" s="34">
        <v>179800000</v>
      </c>
      <c r="AT14" s="34">
        <v>221133746.64285713</v>
      </c>
      <c r="AU14" s="34">
        <v>163256985</v>
      </c>
      <c r="AV14" s="34">
        <v>473277398</v>
      </c>
      <c r="AW14" s="34">
        <v>999048830</v>
      </c>
      <c r="AX14" s="34">
        <v>539482428.57142854</v>
      </c>
      <c r="AY14" s="34">
        <v>191939277</v>
      </c>
      <c r="AZ14" s="34">
        <v>231160871</v>
      </c>
      <c r="BA14" s="277">
        <v>217453187</v>
      </c>
      <c r="BB14" s="40">
        <v>276097999.99999994</v>
      </c>
      <c r="BC14" s="34">
        <v>4966513000</v>
      </c>
      <c r="BD14" s="34">
        <v>12500000</v>
      </c>
      <c r="BE14" s="34">
        <v>301899397</v>
      </c>
      <c r="BF14" s="34">
        <v>195800000</v>
      </c>
      <c r="BG14" s="34">
        <v>244585325.35714284</v>
      </c>
      <c r="BH14" s="34">
        <v>184546987</v>
      </c>
      <c r="BI14" s="34">
        <v>580848083</v>
      </c>
      <c r="BJ14" s="34">
        <v>1084153064</v>
      </c>
      <c r="BK14" s="34">
        <v>631640134.82142854</v>
      </c>
      <c r="BL14" s="34">
        <v>216433971</v>
      </c>
      <c r="BM14" s="34">
        <v>265300104</v>
      </c>
      <c r="BN14" s="277">
        <v>239511452</v>
      </c>
      <c r="BO14" s="40">
        <v>333015999.99999994</v>
      </c>
    </row>
    <row r="15" spans="1:67" x14ac:dyDescent="0.2">
      <c r="A15" s="4">
        <v>12</v>
      </c>
      <c r="B15" s="13" t="s">
        <v>20</v>
      </c>
      <c r="C15" s="34">
        <v>9101126000</v>
      </c>
      <c r="D15" s="34">
        <v>231000616</v>
      </c>
      <c r="E15" s="38">
        <v>942500000</v>
      </c>
      <c r="F15" s="38">
        <v>562400000</v>
      </c>
      <c r="H15" s="134">
        <v>750205967</v>
      </c>
      <c r="I15" s="134">
        <v>1395442166</v>
      </c>
      <c r="K15" s="37">
        <v>1358882955</v>
      </c>
      <c r="L15" s="34">
        <v>851228366</v>
      </c>
      <c r="M15" s="34">
        <v>794842704</v>
      </c>
      <c r="N15" s="34">
        <v>953688951</v>
      </c>
      <c r="O15" s="40">
        <v>753565706.13980246</v>
      </c>
      <c r="P15" s="39">
        <v>9535732380</v>
      </c>
      <c r="Q15" s="34">
        <v>229713355</v>
      </c>
      <c r="R15" s="34">
        <v>920000000</v>
      </c>
      <c r="S15" s="4">
        <v>573000000</v>
      </c>
      <c r="T15" s="34">
        <v>837579379.44444442</v>
      </c>
      <c r="U15" s="133">
        <v>718316914</v>
      </c>
      <c r="V15" s="133">
        <v>1640486532</v>
      </c>
      <c r="W15" s="133">
        <v>2929862213</v>
      </c>
      <c r="X15" s="37">
        <v>1607378244</v>
      </c>
      <c r="Y15" s="34">
        <v>885278186</v>
      </c>
      <c r="Z15" s="34">
        <v>788162353</v>
      </c>
      <c r="AA15" s="34">
        <v>973048628</v>
      </c>
      <c r="AB15" s="40">
        <v>810534577.3985796</v>
      </c>
      <c r="AC15" s="34">
        <v>9535732380</v>
      </c>
      <c r="AD15" s="34">
        <v>235507166</v>
      </c>
      <c r="AE15" s="34">
        <v>973373577</v>
      </c>
      <c r="AF15" s="34">
        <v>556600000</v>
      </c>
      <c r="AG15" s="34">
        <v>868931773.9069767</v>
      </c>
      <c r="AH15" s="34">
        <v>732934566</v>
      </c>
      <c r="AI15" s="34">
        <v>1848266921</v>
      </c>
      <c r="AJ15" s="34">
        <v>2919698358</v>
      </c>
      <c r="AK15" s="34">
        <v>1505570104</v>
      </c>
      <c r="AL15" s="34">
        <v>912086967</v>
      </c>
      <c r="AM15" s="34">
        <v>775439242</v>
      </c>
      <c r="AN15" s="277">
        <v>1004650911</v>
      </c>
      <c r="AO15" s="40">
        <v>791733632.0574075</v>
      </c>
      <c r="AP15" s="34">
        <v>11083886000</v>
      </c>
      <c r="AQ15" s="34">
        <v>280597262</v>
      </c>
      <c r="AR15" s="34">
        <v>1016969187</v>
      </c>
      <c r="AS15" s="34">
        <v>663200000</v>
      </c>
      <c r="AT15" s="34">
        <v>918000460.32142854</v>
      </c>
      <c r="AU15" s="34">
        <v>817981706</v>
      </c>
      <c r="AV15" s="34">
        <v>1930417077</v>
      </c>
      <c r="AW15" s="34">
        <v>2992952827</v>
      </c>
      <c r="AX15" s="34">
        <v>1662627162</v>
      </c>
      <c r="AY15" s="34">
        <v>956549518</v>
      </c>
      <c r="AZ15" s="34">
        <v>845195088</v>
      </c>
      <c r="BA15" s="34">
        <v>1093616825</v>
      </c>
      <c r="BB15" s="40">
        <v>857692871.88380802</v>
      </c>
      <c r="BC15" s="34">
        <v>12108798000</v>
      </c>
      <c r="BD15" s="34">
        <v>287585757</v>
      </c>
      <c r="BE15" s="34">
        <v>1110715077</v>
      </c>
      <c r="BF15" s="34">
        <v>769700000</v>
      </c>
      <c r="BG15" s="34">
        <v>1003885786.6071428</v>
      </c>
      <c r="BH15" s="34">
        <v>912333684</v>
      </c>
      <c r="BI15" s="34">
        <v>2123932073</v>
      </c>
      <c r="BJ15" s="34">
        <v>3341909232</v>
      </c>
      <c r="BK15" s="34">
        <v>1837619617</v>
      </c>
      <c r="BL15" s="34">
        <v>1055833684</v>
      </c>
      <c r="BM15" s="34">
        <v>920217551</v>
      </c>
      <c r="BN15" s="34">
        <v>1281524002</v>
      </c>
      <c r="BO15" s="40">
        <v>999288588.6996516</v>
      </c>
    </row>
    <row r="16" spans="1:67" x14ac:dyDescent="0.2">
      <c r="A16" s="4">
        <v>13</v>
      </c>
      <c r="B16" s="14" t="s">
        <v>21</v>
      </c>
      <c r="C16" s="34">
        <v>76000000</v>
      </c>
      <c r="D16" s="34">
        <v>0</v>
      </c>
      <c r="E16" s="38">
        <f>E17-E15</f>
        <v>109800000</v>
      </c>
      <c r="F16" s="38">
        <v>49900000</v>
      </c>
      <c r="G16" s="38"/>
      <c r="H16" s="133">
        <v>5290</v>
      </c>
      <c r="I16" s="133">
        <v>92432608</v>
      </c>
      <c r="K16" s="37">
        <v>57279000</v>
      </c>
      <c r="L16" s="34">
        <v>229</v>
      </c>
      <c r="M16" s="34">
        <v>4313277.92</v>
      </c>
      <c r="N16" s="265">
        <v>0</v>
      </c>
      <c r="O16" s="40">
        <v>0</v>
      </c>
      <c r="P16" s="39">
        <v>79000000</v>
      </c>
      <c r="Q16" s="34">
        <f>Q13-Q15</f>
        <v>190782629</v>
      </c>
      <c r="R16" s="34">
        <v>77400000</v>
      </c>
      <c r="S16" s="2">
        <v>51700000</v>
      </c>
      <c r="T16" s="34">
        <v>37622196</v>
      </c>
      <c r="U16" s="133">
        <v>2262</v>
      </c>
      <c r="V16" s="133">
        <v>133473659</v>
      </c>
      <c r="W16" s="133">
        <v>153141006</v>
      </c>
      <c r="X16" s="37">
        <v>62320000</v>
      </c>
      <c r="Y16" s="34">
        <f>119147+55</f>
        <v>119202</v>
      </c>
      <c r="Z16" s="34">
        <v>8634265</v>
      </c>
      <c r="AA16" s="34">
        <v>0</v>
      </c>
      <c r="AB16" s="40">
        <v>0</v>
      </c>
      <c r="AC16" s="34">
        <v>79000000</v>
      </c>
      <c r="AD16" s="34">
        <f>AD13-AD15</f>
        <v>197305277</v>
      </c>
      <c r="AE16" s="34">
        <v>85778052</v>
      </c>
      <c r="AF16" s="34">
        <v>48300000</v>
      </c>
      <c r="AG16" s="34">
        <v>42462486</v>
      </c>
      <c r="AH16" s="34">
        <v>342</v>
      </c>
      <c r="AI16" s="34">
        <v>135598076</v>
      </c>
      <c r="AJ16" s="34">
        <v>175416531</v>
      </c>
      <c r="AK16" s="34">
        <v>100567000</v>
      </c>
      <c r="AL16" s="34">
        <v>3062</v>
      </c>
      <c r="AM16" s="34">
        <v>5298198</v>
      </c>
      <c r="AN16" s="277">
        <v>0</v>
      </c>
      <c r="AO16" s="40">
        <v>0</v>
      </c>
      <c r="AP16" s="34">
        <v>85500000</v>
      </c>
      <c r="AQ16" s="34">
        <f>AQ13-AQ15</f>
        <v>262796049</v>
      </c>
      <c r="AR16" s="34">
        <v>92859672</v>
      </c>
      <c r="AS16" s="34">
        <v>44800000</v>
      </c>
      <c r="AT16" s="34">
        <v>43891815</v>
      </c>
      <c r="AU16" s="34">
        <v>6584</v>
      </c>
      <c r="AV16" s="34">
        <v>167344356</v>
      </c>
      <c r="AW16" s="34">
        <v>194404750</v>
      </c>
      <c r="AX16" s="34">
        <v>119843000</v>
      </c>
      <c r="AY16" s="34">
        <v>15470</v>
      </c>
      <c r="AZ16" s="34">
        <v>7762466</v>
      </c>
      <c r="BA16" s="34">
        <v>0</v>
      </c>
      <c r="BB16" s="40">
        <v>0</v>
      </c>
      <c r="BC16" s="34">
        <v>127000000</v>
      </c>
      <c r="BD16" s="34">
        <f>BD13-BD15</f>
        <v>247795642</v>
      </c>
      <c r="BE16" s="34">
        <v>86124846</v>
      </c>
      <c r="BF16" s="34">
        <v>38200000</v>
      </c>
      <c r="BG16" s="34">
        <v>56420115</v>
      </c>
      <c r="BH16" s="34">
        <v>5946</v>
      </c>
      <c r="BI16" s="34">
        <v>179050722</v>
      </c>
      <c r="BJ16" s="34">
        <v>219920609</v>
      </c>
      <c r="BK16" s="34">
        <v>169165000</v>
      </c>
      <c r="BL16" s="34">
        <v>169403</v>
      </c>
      <c r="BM16" s="34">
        <v>7683800</v>
      </c>
      <c r="BN16" s="34">
        <v>0</v>
      </c>
      <c r="BO16" s="40">
        <v>0</v>
      </c>
    </row>
    <row r="17" spans="1:67" x14ac:dyDescent="0.2">
      <c r="A17" s="4">
        <v>14</v>
      </c>
      <c r="B17" s="138" t="s">
        <v>22</v>
      </c>
      <c r="C17" s="34">
        <v>9177126000</v>
      </c>
      <c r="D17" s="34">
        <v>231000616</v>
      </c>
      <c r="E17" s="38">
        <v>1052300000</v>
      </c>
      <c r="F17" s="38">
        <v>612300000</v>
      </c>
      <c r="H17" s="133">
        <f>H15+H16</f>
        <v>750211257</v>
      </c>
      <c r="I17" s="133">
        <v>1487874774</v>
      </c>
      <c r="J17" s="133"/>
      <c r="K17" s="37">
        <v>1416161955</v>
      </c>
      <c r="L17" s="34">
        <f>L15+L16</f>
        <v>851228595</v>
      </c>
      <c r="M17" s="34">
        <v>799155981.91999996</v>
      </c>
      <c r="N17" s="34">
        <f>N15</f>
        <v>953688951</v>
      </c>
      <c r="O17" s="40">
        <v>753565706.13980246</v>
      </c>
      <c r="P17" s="39">
        <v>9614732380</v>
      </c>
      <c r="Q17" s="34">
        <f>Q15+Q16</f>
        <v>420495984</v>
      </c>
      <c r="R17" s="34">
        <v>997400000</v>
      </c>
      <c r="S17" s="2">
        <v>624700000</v>
      </c>
      <c r="T17" s="34">
        <v>875201575.44444442</v>
      </c>
      <c r="U17" s="133">
        <f>U15+U16</f>
        <v>718319176</v>
      </c>
      <c r="V17" s="133">
        <v>1773960191</v>
      </c>
      <c r="W17" s="133">
        <v>3083003219</v>
      </c>
      <c r="X17" s="37">
        <v>1669698244</v>
      </c>
      <c r="Y17" s="34">
        <f>Y15+Y16</f>
        <v>885397388</v>
      </c>
      <c r="Z17" s="34">
        <f>Z15+Z16</f>
        <v>796796618</v>
      </c>
      <c r="AA17" s="34">
        <f>AA15</f>
        <v>973048628</v>
      </c>
      <c r="AB17" s="40">
        <v>810534577.3985796</v>
      </c>
      <c r="AC17" s="34">
        <v>9614732380</v>
      </c>
      <c r="AD17" s="34">
        <f>AD15+AD16</f>
        <v>432812443</v>
      </c>
      <c r="AE17" s="34">
        <v>1059151629</v>
      </c>
      <c r="AF17" s="34">
        <v>604900000</v>
      </c>
      <c r="AG17" s="34">
        <v>911394259.9069767</v>
      </c>
      <c r="AH17" s="34">
        <v>732934908</v>
      </c>
      <c r="AI17" s="34">
        <v>1983864997</v>
      </c>
      <c r="AJ17" s="34">
        <v>3095114889</v>
      </c>
      <c r="AK17" s="34">
        <v>1606137104</v>
      </c>
      <c r="AL17" s="34">
        <v>912090029</v>
      </c>
      <c r="AM17" s="34">
        <v>780737440</v>
      </c>
      <c r="AN17" s="277">
        <f>AN15</f>
        <v>1004650911</v>
      </c>
      <c r="AO17" s="40">
        <v>791733632.0574075</v>
      </c>
      <c r="AP17" s="34">
        <v>11169386000</v>
      </c>
      <c r="AQ17" s="34">
        <f>AQ15+AQ16</f>
        <v>543393311</v>
      </c>
      <c r="AR17" s="34">
        <v>1109828859</v>
      </c>
      <c r="AS17" s="34">
        <v>708000000</v>
      </c>
      <c r="AT17" s="34">
        <v>961892275.32142854</v>
      </c>
      <c r="AU17" s="34">
        <v>817988290</v>
      </c>
      <c r="AV17" s="34">
        <v>2097761433</v>
      </c>
      <c r="AW17" s="34">
        <v>3187357577</v>
      </c>
      <c r="AX17" s="34">
        <v>1782470162</v>
      </c>
      <c r="AY17" s="34">
        <v>956564988</v>
      </c>
      <c r="AZ17" s="34">
        <v>852957554</v>
      </c>
      <c r="BA17" s="34">
        <f>BA15</f>
        <v>1093616825</v>
      </c>
      <c r="BB17" s="40">
        <v>857692871.88380802</v>
      </c>
      <c r="BC17" s="34">
        <v>12235798000</v>
      </c>
      <c r="BD17" s="34">
        <f>BD16+BD15</f>
        <v>535381399</v>
      </c>
      <c r="BE17" s="34">
        <v>1196839923</v>
      </c>
      <c r="BF17" s="34">
        <v>807900000.00000012</v>
      </c>
      <c r="BG17" s="34">
        <v>1060305901.6071428</v>
      </c>
      <c r="BH17" s="34">
        <v>912339630</v>
      </c>
      <c r="BI17" s="34">
        <v>2302982795</v>
      </c>
      <c r="BJ17" s="34">
        <v>3561829841</v>
      </c>
      <c r="BK17" s="34">
        <v>2006784617</v>
      </c>
      <c r="BL17" s="34">
        <v>1056003087</v>
      </c>
      <c r="BM17" s="34">
        <v>927901351</v>
      </c>
      <c r="BN17" s="34">
        <f>BN15</f>
        <v>1281524002</v>
      </c>
      <c r="BO17" s="40">
        <v>999288588.6996516</v>
      </c>
    </row>
    <row r="18" spans="1:67" x14ac:dyDescent="0.2">
      <c r="A18" s="321">
        <v>15</v>
      </c>
      <c r="B18" s="322" t="s">
        <v>23</v>
      </c>
      <c r="C18" s="323"/>
      <c r="D18" s="323"/>
      <c r="E18" s="323"/>
      <c r="F18" s="323"/>
      <c r="G18" s="323"/>
      <c r="H18" s="323"/>
      <c r="I18" s="323"/>
      <c r="J18" s="323"/>
      <c r="K18" s="323"/>
      <c r="L18" s="323"/>
      <c r="M18" s="323"/>
      <c r="N18" s="323"/>
      <c r="O18" s="324"/>
      <c r="P18" s="323"/>
      <c r="Q18" s="323"/>
      <c r="R18" s="323"/>
      <c r="S18" s="323"/>
      <c r="T18" s="323"/>
      <c r="U18" s="323"/>
      <c r="V18" s="323"/>
      <c r="W18" s="348"/>
      <c r="X18" s="323"/>
      <c r="Y18" s="323"/>
      <c r="Z18" s="323"/>
      <c r="AA18" s="323"/>
      <c r="AB18" s="324"/>
      <c r="AC18" s="323"/>
      <c r="AD18" s="323"/>
      <c r="AE18" s="323"/>
      <c r="AF18" s="323"/>
      <c r="AG18" s="323"/>
      <c r="AH18" s="323"/>
      <c r="AI18" s="323"/>
      <c r="AJ18" s="323"/>
      <c r="AK18" s="323"/>
      <c r="AL18" s="323"/>
      <c r="AM18" s="323"/>
      <c r="AN18" s="323"/>
      <c r="AO18" s="324"/>
      <c r="AP18" s="323"/>
      <c r="AQ18" s="323"/>
      <c r="AR18" s="323"/>
      <c r="AS18" s="323"/>
      <c r="AT18" s="323"/>
      <c r="AU18" s="323"/>
      <c r="AV18" s="323"/>
      <c r="AW18" s="323"/>
      <c r="AX18" s="323"/>
      <c r="AY18" s="323"/>
      <c r="AZ18" s="323"/>
      <c r="BA18" s="323"/>
      <c r="BB18" s="324"/>
      <c r="BC18" s="353"/>
      <c r="BD18" s="353"/>
      <c r="BE18" s="353"/>
      <c r="BF18" s="353"/>
      <c r="BG18" s="353"/>
      <c r="BH18" s="353"/>
      <c r="BI18" s="353"/>
      <c r="BJ18" s="353"/>
      <c r="BK18" s="353"/>
      <c r="BL18" s="353"/>
      <c r="BM18" s="353"/>
      <c r="BN18" s="353"/>
      <c r="BO18" s="324"/>
    </row>
    <row r="19" spans="1:67" x14ac:dyDescent="0.2">
      <c r="A19" s="321">
        <v>16</v>
      </c>
      <c r="B19" s="325" t="s">
        <v>24</v>
      </c>
      <c r="C19" s="323">
        <v>48811</v>
      </c>
      <c r="D19" s="323">
        <v>14910</v>
      </c>
      <c r="E19" s="323">
        <v>9329</v>
      </c>
      <c r="F19" s="323">
        <v>4024</v>
      </c>
      <c r="G19" s="323"/>
      <c r="H19" s="326">
        <v>3382</v>
      </c>
      <c r="I19" s="326"/>
      <c r="J19" s="323"/>
      <c r="K19" s="327">
        <v>44563</v>
      </c>
      <c r="L19" s="323">
        <v>18097.342000000001</v>
      </c>
      <c r="M19" s="323">
        <v>26042.278706000001</v>
      </c>
      <c r="N19" s="323">
        <v>48111</v>
      </c>
      <c r="O19" s="324"/>
      <c r="P19" s="323">
        <v>28434.082999999999</v>
      </c>
      <c r="Q19" s="328">
        <v>14734</v>
      </c>
      <c r="R19" s="323">
        <v>7227</v>
      </c>
      <c r="S19" s="329">
        <v>3616</v>
      </c>
      <c r="T19" s="323">
        <v>10849</v>
      </c>
      <c r="U19" s="323">
        <v>9687</v>
      </c>
      <c r="V19" s="323"/>
      <c r="W19" s="348">
        <v>72000</v>
      </c>
      <c r="X19" s="327">
        <v>40516</v>
      </c>
      <c r="Y19" s="323">
        <v>18603.342000000001</v>
      </c>
      <c r="Z19" s="323">
        <v>26107.4702</v>
      </c>
      <c r="AA19" s="323">
        <v>46348</v>
      </c>
      <c r="AB19" s="324">
        <v>22549</v>
      </c>
      <c r="AC19" s="323">
        <v>20760.080000000002</v>
      </c>
      <c r="AD19" s="328">
        <v>15094</v>
      </c>
      <c r="AE19" s="327">
        <v>8154</v>
      </c>
      <c r="AF19" s="329">
        <v>4340</v>
      </c>
      <c r="AG19" s="323">
        <v>11944</v>
      </c>
      <c r="AH19" s="323">
        <v>14109</v>
      </c>
      <c r="AI19" s="323"/>
      <c r="AJ19" s="348">
        <v>62700</v>
      </c>
      <c r="AK19" s="323">
        <v>47068</v>
      </c>
      <c r="AL19" s="323">
        <v>15029.342000000001</v>
      </c>
      <c r="AM19" s="323">
        <v>24400.646157700001</v>
      </c>
      <c r="AN19" s="323">
        <v>47327</v>
      </c>
      <c r="AO19" s="324">
        <v>24828</v>
      </c>
      <c r="AP19" s="323">
        <v>54548.837</v>
      </c>
      <c r="AQ19" s="323">
        <v>15079</v>
      </c>
      <c r="AR19" s="323">
        <v>7831</v>
      </c>
      <c r="AS19" s="329">
        <v>4114</v>
      </c>
      <c r="AT19" s="323">
        <v>11454</v>
      </c>
      <c r="AU19" s="323">
        <v>14187</v>
      </c>
      <c r="AV19" s="323"/>
      <c r="AW19" s="348">
        <v>68500</v>
      </c>
      <c r="AX19" s="327">
        <v>52088</v>
      </c>
      <c r="AY19" s="323">
        <v>15379.342000000001</v>
      </c>
      <c r="AZ19" s="323">
        <v>24490.803353000003</v>
      </c>
      <c r="BA19" s="323">
        <v>51819</v>
      </c>
      <c r="BB19" s="324">
        <v>26036</v>
      </c>
      <c r="BC19" s="353">
        <v>50628</v>
      </c>
      <c r="BD19" s="353">
        <v>15035</v>
      </c>
      <c r="BE19" s="353">
        <v>8209</v>
      </c>
      <c r="BF19" s="353">
        <v>4070</v>
      </c>
      <c r="BG19" s="353">
        <v>11722</v>
      </c>
      <c r="BH19" s="353">
        <v>11735</v>
      </c>
      <c r="BI19" s="353"/>
      <c r="BJ19" s="354">
        <v>82900</v>
      </c>
      <c r="BK19" s="355">
        <v>49006</v>
      </c>
      <c r="BL19" s="353">
        <v>15858.194659999999</v>
      </c>
      <c r="BM19" s="353">
        <v>24065.480013</v>
      </c>
      <c r="BN19" s="353">
        <v>53916</v>
      </c>
      <c r="BO19" s="324">
        <v>25224</v>
      </c>
    </row>
    <row r="20" spans="1:67" x14ac:dyDescent="0.2">
      <c r="A20" s="330">
        <v>17</v>
      </c>
      <c r="B20" s="331" t="s">
        <v>25</v>
      </c>
      <c r="C20" s="332">
        <v>615181</v>
      </c>
      <c r="D20" s="333"/>
      <c r="E20" s="332">
        <v>903625</v>
      </c>
      <c r="F20" s="332">
        <v>590520</v>
      </c>
      <c r="G20" s="333"/>
      <c r="H20" s="334">
        <v>1446945</v>
      </c>
      <c r="I20" s="334">
        <v>303240</v>
      </c>
      <c r="J20" s="333"/>
      <c r="K20" s="335">
        <v>2708</v>
      </c>
      <c r="L20" s="334">
        <f>736*180*2</f>
        <v>264960</v>
      </c>
      <c r="M20" s="333">
        <v>913</v>
      </c>
      <c r="N20" s="333"/>
      <c r="O20" s="336">
        <v>1794940</v>
      </c>
      <c r="P20" s="333">
        <v>469303</v>
      </c>
      <c r="Q20" s="333"/>
      <c r="R20" s="334">
        <v>778895</v>
      </c>
      <c r="S20" s="337">
        <f>1545*2*190</f>
        <v>587100</v>
      </c>
      <c r="T20" s="333">
        <v>684684</v>
      </c>
      <c r="U20" s="333">
        <v>1419110</v>
      </c>
      <c r="V20" s="333">
        <v>306340</v>
      </c>
      <c r="W20" s="334"/>
      <c r="X20" s="335">
        <v>3508</v>
      </c>
      <c r="Y20" s="334">
        <f>1500*180*2</f>
        <v>540000</v>
      </c>
      <c r="Z20" s="333">
        <v>902</v>
      </c>
      <c r="AA20" s="333"/>
      <c r="AB20" s="336">
        <v>1376284</v>
      </c>
      <c r="AC20" s="333">
        <v>719611</v>
      </c>
      <c r="AD20" s="333"/>
      <c r="AE20" s="333">
        <v>1030093</v>
      </c>
      <c r="AF20" s="337">
        <f>1681*2*190</f>
        <v>638780</v>
      </c>
      <c r="AG20" s="333">
        <v>852840</v>
      </c>
      <c r="AH20" s="333">
        <v>1381363</v>
      </c>
      <c r="AI20" s="333">
        <v>607240</v>
      </c>
      <c r="AJ20" s="333"/>
      <c r="AK20" s="333">
        <v>3898</v>
      </c>
      <c r="AL20" s="333">
        <v>570240</v>
      </c>
      <c r="AM20" s="333">
        <v>988</v>
      </c>
      <c r="AN20" s="333"/>
      <c r="AO20" s="336">
        <v>1514584</v>
      </c>
      <c r="AP20" s="333">
        <v>816441</v>
      </c>
      <c r="AQ20" s="333"/>
      <c r="AR20" s="333">
        <v>1176969</v>
      </c>
      <c r="AS20" s="333">
        <v>735680</v>
      </c>
      <c r="AT20" s="333">
        <v>819720</v>
      </c>
      <c r="AU20" s="333">
        <v>1449890</v>
      </c>
      <c r="AV20" s="333">
        <v>592800</v>
      </c>
      <c r="AW20" s="333"/>
      <c r="AX20" s="333">
        <v>4057</v>
      </c>
      <c r="AY20" s="333">
        <v>608400</v>
      </c>
      <c r="AZ20" s="333">
        <v>963</v>
      </c>
      <c r="BA20" s="333"/>
      <c r="BB20" s="336">
        <v>1323222</v>
      </c>
      <c r="BC20" s="332">
        <v>1019444</v>
      </c>
      <c r="BD20" s="332"/>
      <c r="BE20" s="332">
        <v>1140528</v>
      </c>
      <c r="BF20" s="332">
        <v>861080</v>
      </c>
      <c r="BG20" s="332">
        <v>870120</v>
      </c>
      <c r="BH20" s="332">
        <v>1376930</v>
      </c>
      <c r="BI20" s="332">
        <v>648660</v>
      </c>
      <c r="BJ20" s="332">
        <v>572048</v>
      </c>
      <c r="BK20" s="332">
        <v>3981</v>
      </c>
      <c r="BL20" s="332">
        <v>645840</v>
      </c>
      <c r="BM20" s="332">
        <v>1065</v>
      </c>
      <c r="BN20" s="332"/>
      <c r="BO20" s="336">
        <v>1421736</v>
      </c>
    </row>
    <row r="21" spans="1:67" x14ac:dyDescent="0.2">
      <c r="A21" s="330">
        <v>18</v>
      </c>
      <c r="B21" s="331" t="s">
        <v>26</v>
      </c>
      <c r="C21" s="332">
        <v>182653000</v>
      </c>
      <c r="D21" s="333"/>
      <c r="E21" s="332" t="s">
        <v>30</v>
      </c>
      <c r="F21" s="332">
        <v>77000000</v>
      </c>
      <c r="G21" s="333"/>
      <c r="H21" s="334">
        <v>65984005</v>
      </c>
      <c r="I21" s="334">
        <v>48496985</v>
      </c>
      <c r="J21" s="333"/>
      <c r="K21" s="338">
        <v>38336000</v>
      </c>
      <c r="L21" s="334">
        <v>94266877</v>
      </c>
      <c r="M21" s="333">
        <v>76304403</v>
      </c>
      <c r="N21" s="335">
        <v>14213064</v>
      </c>
      <c r="O21" s="336">
        <v>51972000</v>
      </c>
      <c r="P21" s="333">
        <v>209654000</v>
      </c>
      <c r="Q21" s="333"/>
      <c r="R21" s="334">
        <v>144681457</v>
      </c>
      <c r="S21" s="330">
        <v>77000000</v>
      </c>
      <c r="T21" s="333">
        <v>67275420</v>
      </c>
      <c r="U21" s="333">
        <v>61356736</v>
      </c>
      <c r="V21" s="333">
        <v>42354611</v>
      </c>
      <c r="W21" s="334">
        <v>158623322.13999999</v>
      </c>
      <c r="X21" s="338">
        <v>34685000</v>
      </c>
      <c r="Y21" s="334">
        <v>94352470</v>
      </c>
      <c r="Z21" s="333">
        <v>62626609</v>
      </c>
      <c r="AA21" s="333">
        <v>9360185</v>
      </c>
      <c r="AB21" s="336">
        <v>48942000</v>
      </c>
      <c r="AC21" s="333">
        <v>234931000</v>
      </c>
      <c r="AD21" s="333"/>
      <c r="AE21" s="333">
        <v>164690599</v>
      </c>
      <c r="AF21" s="330">
        <v>88300000</v>
      </c>
      <c r="AG21" s="333">
        <v>88334605</v>
      </c>
      <c r="AH21" s="333">
        <v>61723472</v>
      </c>
      <c r="AI21" s="333">
        <v>53239658</v>
      </c>
      <c r="AJ21" s="333">
        <v>182404820.22</v>
      </c>
      <c r="AK21" s="333">
        <v>33765000</v>
      </c>
      <c r="AL21" s="333">
        <v>99094934</v>
      </c>
      <c r="AM21" s="333">
        <v>76516273</v>
      </c>
      <c r="AN21" s="333">
        <v>8912274</v>
      </c>
      <c r="AO21" s="336">
        <v>56731000</v>
      </c>
      <c r="AP21" s="333">
        <v>241000000</v>
      </c>
      <c r="AQ21" s="333"/>
      <c r="AR21" s="333">
        <v>178580257</v>
      </c>
      <c r="AS21" s="333">
        <v>101800000</v>
      </c>
      <c r="AT21" s="333">
        <v>78723152</v>
      </c>
      <c r="AU21" s="333">
        <v>66135393</v>
      </c>
      <c r="AV21" s="333">
        <v>54438534</v>
      </c>
      <c r="AW21" s="333">
        <v>197266177.55000001</v>
      </c>
      <c r="AX21" s="333">
        <v>32213000</v>
      </c>
      <c r="AY21" s="333">
        <v>102471796</v>
      </c>
      <c r="AZ21" s="333">
        <v>78296343</v>
      </c>
      <c r="BA21" s="333">
        <v>9155096</v>
      </c>
      <c r="BB21" s="336">
        <v>56338000</v>
      </c>
      <c r="BC21" s="332">
        <v>226192000</v>
      </c>
      <c r="BD21" s="332">
        <v>5000000</v>
      </c>
      <c r="BE21" s="332">
        <v>189012724</v>
      </c>
      <c r="BF21" s="332">
        <v>111900000</v>
      </c>
      <c r="BG21" s="332">
        <v>84447895</v>
      </c>
      <c r="BH21" s="332">
        <v>70246441</v>
      </c>
      <c r="BI21" s="332">
        <v>55336248</v>
      </c>
      <c r="BJ21" s="332">
        <v>196779864.06999999</v>
      </c>
      <c r="BK21" s="332">
        <v>67270000</v>
      </c>
      <c r="BL21" s="332">
        <v>115447448</v>
      </c>
      <c r="BM21" s="332">
        <v>78908782</v>
      </c>
      <c r="BN21" s="332">
        <v>9360310</v>
      </c>
      <c r="BO21" s="336">
        <v>65980000</v>
      </c>
    </row>
    <row r="22" spans="1:67" x14ac:dyDescent="0.2">
      <c r="A22" s="330">
        <v>19</v>
      </c>
      <c r="B22" s="339" t="s">
        <v>108</v>
      </c>
      <c r="C22" s="332">
        <v>220071000</v>
      </c>
      <c r="D22" s="333"/>
      <c r="E22" s="332" t="s">
        <v>30</v>
      </c>
      <c r="F22" s="332">
        <v>86211000</v>
      </c>
      <c r="G22" s="333"/>
      <c r="H22" s="334">
        <v>81079039</v>
      </c>
      <c r="I22" s="334">
        <v>82217000</v>
      </c>
      <c r="J22" s="333"/>
      <c r="K22" s="338">
        <v>130643556</v>
      </c>
      <c r="L22" s="334">
        <v>47666000</v>
      </c>
      <c r="M22" s="333">
        <v>26969212.399999999</v>
      </c>
      <c r="N22" s="333"/>
      <c r="O22" s="336">
        <v>44273421</v>
      </c>
      <c r="P22" s="333">
        <v>242280000</v>
      </c>
      <c r="Q22" s="333"/>
      <c r="R22" s="334">
        <v>189080058.41</v>
      </c>
      <c r="S22" s="330">
        <v>94200000</v>
      </c>
      <c r="T22" s="333">
        <v>113521000</v>
      </c>
      <c r="U22" s="333">
        <v>63245874</v>
      </c>
      <c r="V22" s="333">
        <v>78517251</v>
      </c>
      <c r="W22" s="334">
        <v>177072332.61000001</v>
      </c>
      <c r="X22" s="338">
        <v>110632113</v>
      </c>
      <c r="Y22" s="334">
        <v>46535000</v>
      </c>
      <c r="Z22" s="333">
        <v>23486313.780000001</v>
      </c>
      <c r="AA22" s="333"/>
      <c r="AB22" s="336">
        <v>42905247</v>
      </c>
      <c r="AC22" s="333">
        <v>242617000</v>
      </c>
      <c r="AD22" s="333"/>
      <c r="AE22" s="333">
        <v>191518657</v>
      </c>
      <c r="AF22" s="330">
        <v>101400000</v>
      </c>
      <c r="AG22" s="333">
        <v>126772000</v>
      </c>
      <c r="AH22" s="333">
        <v>68504033</v>
      </c>
      <c r="AI22" s="333">
        <v>97785000</v>
      </c>
      <c r="AJ22" s="333">
        <v>213491379.69999999</v>
      </c>
      <c r="AK22" s="333">
        <v>133086182</v>
      </c>
      <c r="AL22" s="333">
        <v>57171000</v>
      </c>
      <c r="AM22" s="333">
        <v>30465793.25</v>
      </c>
      <c r="AN22" s="333"/>
      <c r="AO22" s="336">
        <v>48526033</v>
      </c>
      <c r="AP22" s="333">
        <v>235930000</v>
      </c>
      <c r="AQ22" s="333"/>
      <c r="AR22" s="333">
        <v>198223890</v>
      </c>
      <c r="AS22" s="333">
        <v>125000000</v>
      </c>
      <c r="AT22" s="333">
        <v>131386000</v>
      </c>
      <c r="AU22" s="333">
        <v>78566262</v>
      </c>
      <c r="AV22" s="333">
        <v>103183570</v>
      </c>
      <c r="AW22" s="333">
        <v>244506258.77000001</v>
      </c>
      <c r="AX22" s="333">
        <v>132295884</v>
      </c>
      <c r="AY22" s="333">
        <v>98076000</v>
      </c>
      <c r="AZ22" s="333">
        <v>36415710.520000003</v>
      </c>
      <c r="BA22" s="333"/>
      <c r="BB22" s="336">
        <v>52734182</v>
      </c>
      <c r="BC22" s="332">
        <v>262091000</v>
      </c>
      <c r="BD22" s="332"/>
      <c r="BE22" s="332">
        <v>221645087</v>
      </c>
      <c r="BF22" s="332">
        <v>148000000</v>
      </c>
      <c r="BG22" s="332">
        <v>134376000</v>
      </c>
      <c r="BH22" s="332">
        <v>76844701</v>
      </c>
      <c r="BI22" s="332">
        <v>110200000</v>
      </c>
      <c r="BJ22" s="332">
        <v>282799103.56999999</v>
      </c>
      <c r="BK22" s="332">
        <v>206415273</v>
      </c>
      <c r="BL22" s="332">
        <v>126713000</v>
      </c>
      <c r="BM22" s="332">
        <v>40271064.57</v>
      </c>
      <c r="BN22" s="332"/>
      <c r="BO22" s="336">
        <v>71441926</v>
      </c>
    </row>
    <row r="23" spans="1:67" x14ac:dyDescent="0.2">
      <c r="A23" s="330">
        <v>20</v>
      </c>
      <c r="B23" s="339" t="s">
        <v>27</v>
      </c>
      <c r="C23" s="333">
        <v>12731</v>
      </c>
      <c r="D23" s="333">
        <v>450</v>
      </c>
      <c r="E23" s="333">
        <v>7847</v>
      </c>
      <c r="F23" s="333">
        <v>5204</v>
      </c>
      <c r="G23" s="333"/>
      <c r="H23" s="334">
        <v>1146</v>
      </c>
      <c r="I23" s="340"/>
      <c r="J23" s="333"/>
      <c r="K23" s="333">
        <v>6100</v>
      </c>
      <c r="L23" s="334">
        <v>3973</v>
      </c>
      <c r="M23" s="338">
        <v>0</v>
      </c>
      <c r="N23" s="335">
        <v>3924</v>
      </c>
      <c r="O23" s="336">
        <v>1906</v>
      </c>
      <c r="P23" s="333">
        <v>13016</v>
      </c>
      <c r="Q23" s="335">
        <v>258</v>
      </c>
      <c r="R23" s="334">
        <v>7680</v>
      </c>
      <c r="S23" s="337">
        <v>4393</v>
      </c>
      <c r="T23" s="333">
        <v>5508</v>
      </c>
      <c r="U23" s="333">
        <v>1209</v>
      </c>
      <c r="V23" s="333"/>
      <c r="W23" s="334">
        <v>5000</v>
      </c>
      <c r="X23" s="333">
        <v>6696</v>
      </c>
      <c r="Y23" s="334">
        <v>4153</v>
      </c>
      <c r="Z23" s="333">
        <v>7793</v>
      </c>
      <c r="AA23" s="333">
        <v>2740</v>
      </c>
      <c r="AB23" s="336">
        <v>1660</v>
      </c>
      <c r="AC23" s="333">
        <v>15520000</v>
      </c>
      <c r="AD23" s="335">
        <v>213</v>
      </c>
      <c r="AE23" s="333">
        <v>7085</v>
      </c>
      <c r="AF23" s="337">
        <v>4690</v>
      </c>
      <c r="AG23" s="333">
        <v>5737</v>
      </c>
      <c r="AH23" s="333">
        <v>1265</v>
      </c>
      <c r="AI23" s="333"/>
      <c r="AJ23" s="333">
        <v>5000</v>
      </c>
      <c r="AK23" s="333">
        <v>6434</v>
      </c>
      <c r="AL23" s="333">
        <v>3985</v>
      </c>
      <c r="AM23" s="333">
        <v>7676</v>
      </c>
      <c r="AN23" s="333">
        <v>2799</v>
      </c>
      <c r="AO23" s="336">
        <v>3101</v>
      </c>
      <c r="AP23" s="333">
        <v>14526000</v>
      </c>
      <c r="AQ23" s="335">
        <v>205</v>
      </c>
      <c r="AR23" s="333">
        <v>6512</v>
      </c>
      <c r="AS23" s="333">
        <v>4959</v>
      </c>
      <c r="AT23" s="333">
        <v>6351</v>
      </c>
      <c r="AU23" s="333">
        <v>1243</v>
      </c>
      <c r="AV23" s="333">
        <v>1316</v>
      </c>
      <c r="AW23" s="333">
        <v>5000</v>
      </c>
      <c r="AX23" s="333">
        <v>6647</v>
      </c>
      <c r="AY23" s="333">
        <v>4097</v>
      </c>
      <c r="AZ23" s="333">
        <v>7863</v>
      </c>
      <c r="BA23" s="333">
        <v>2827</v>
      </c>
      <c r="BB23" s="336">
        <v>3013</v>
      </c>
      <c r="BC23" s="332">
        <v>13415000</v>
      </c>
      <c r="BD23" s="356">
        <v>198</v>
      </c>
      <c r="BE23" s="332">
        <v>6421</v>
      </c>
      <c r="BF23" s="332">
        <v>4975</v>
      </c>
      <c r="BG23" s="332">
        <v>6590</v>
      </c>
      <c r="BH23" s="332">
        <v>1161</v>
      </c>
      <c r="BI23" s="332">
        <v>1235</v>
      </c>
      <c r="BJ23" s="332">
        <v>5000</v>
      </c>
      <c r="BK23" s="332">
        <v>6843</v>
      </c>
      <c r="BL23" s="332">
        <v>4094</v>
      </c>
      <c r="BM23" s="332">
        <v>7059</v>
      </c>
      <c r="BN23" s="332">
        <v>2826</v>
      </c>
      <c r="BO23" s="336">
        <v>3090</v>
      </c>
    </row>
    <row r="24" spans="1:67" x14ac:dyDescent="0.2">
      <c r="A24" s="330"/>
      <c r="B24" s="341" t="s">
        <v>112</v>
      </c>
      <c r="C24" s="333"/>
      <c r="D24" s="333"/>
      <c r="E24" s="333"/>
      <c r="F24" s="333"/>
      <c r="G24" s="333"/>
      <c r="H24" s="334"/>
      <c r="I24" s="334"/>
      <c r="J24" s="333"/>
      <c r="K24" s="333"/>
      <c r="L24" s="334"/>
      <c r="M24" s="338"/>
      <c r="N24" s="335"/>
      <c r="O24" s="336"/>
      <c r="P24" s="333"/>
      <c r="Q24" s="335"/>
      <c r="R24" s="334"/>
      <c r="S24" s="337"/>
      <c r="T24" s="333"/>
      <c r="U24" s="333"/>
      <c r="V24" s="333"/>
      <c r="W24" s="334"/>
      <c r="X24" s="333"/>
      <c r="Y24" s="334"/>
      <c r="Z24" s="333"/>
      <c r="AA24" s="333"/>
      <c r="AB24" s="336"/>
      <c r="AC24" s="333"/>
      <c r="AD24" s="335"/>
      <c r="AE24" s="333"/>
      <c r="AF24" s="337"/>
      <c r="AG24" s="333"/>
      <c r="AH24" s="333"/>
      <c r="AI24" s="333"/>
      <c r="AJ24" s="333"/>
      <c r="AK24" s="333"/>
      <c r="AL24" s="333"/>
      <c r="AM24" s="333"/>
      <c r="AN24" s="333"/>
      <c r="AO24" s="336"/>
      <c r="AP24" s="333"/>
      <c r="AQ24" s="335"/>
      <c r="AR24" s="333"/>
      <c r="AS24" s="333"/>
      <c r="AT24" s="333"/>
      <c r="AU24" s="333"/>
      <c r="AV24" s="333"/>
      <c r="AW24" s="333"/>
      <c r="AX24" s="333"/>
      <c r="AY24" s="333"/>
      <c r="AZ24" s="333"/>
      <c r="BA24" s="333"/>
      <c r="BB24" s="336"/>
      <c r="BC24" s="332"/>
      <c r="BD24" s="356"/>
      <c r="BE24" s="332"/>
      <c r="BF24" s="332"/>
      <c r="BG24" s="332"/>
      <c r="BH24" s="332"/>
      <c r="BI24" s="332"/>
      <c r="BJ24" s="332"/>
      <c r="BK24" s="332"/>
      <c r="BL24" s="332"/>
      <c r="BM24" s="332"/>
      <c r="BN24" s="332"/>
      <c r="BO24" s="336"/>
    </row>
    <row r="25" spans="1:67" x14ac:dyDescent="0.2">
      <c r="A25" s="330"/>
      <c r="B25" s="341"/>
      <c r="C25" s="333"/>
      <c r="D25" s="333"/>
      <c r="E25" s="333"/>
      <c r="F25" s="333"/>
      <c r="G25" s="333"/>
      <c r="H25" s="334"/>
      <c r="I25" s="334"/>
      <c r="J25" s="333"/>
      <c r="K25" s="333"/>
      <c r="L25" s="334"/>
      <c r="M25" s="338"/>
      <c r="N25" s="335"/>
      <c r="O25" s="336"/>
      <c r="P25" s="333">
        <f>P7/P27</f>
        <v>966.01713546861185</v>
      </c>
      <c r="Q25" s="335"/>
      <c r="R25" s="334"/>
      <c r="S25" s="337"/>
      <c r="T25" s="333"/>
      <c r="U25" s="333"/>
      <c r="V25" s="333"/>
      <c r="W25" s="334"/>
      <c r="X25" s="333"/>
      <c r="Y25" s="334"/>
      <c r="Z25" s="333"/>
      <c r="AA25" s="333"/>
      <c r="AB25" s="336"/>
      <c r="AC25" s="333"/>
      <c r="AD25" s="335"/>
      <c r="AE25" s="333"/>
      <c r="AF25" s="337"/>
      <c r="AG25" s="333"/>
      <c r="AH25" s="333"/>
      <c r="AI25" s="333"/>
      <c r="AJ25" s="333"/>
      <c r="AK25" s="333"/>
      <c r="AL25" s="333"/>
      <c r="AM25" s="333"/>
      <c r="AN25" s="333"/>
      <c r="AO25" s="336"/>
      <c r="AP25" s="333"/>
      <c r="AQ25" s="335"/>
      <c r="AR25" s="333"/>
      <c r="AS25" s="333"/>
      <c r="AT25" s="333"/>
      <c r="AU25" s="333"/>
      <c r="AV25" s="333"/>
      <c r="AW25" s="333"/>
      <c r="AX25" s="333"/>
      <c r="AY25" s="333"/>
      <c r="AZ25" s="333"/>
      <c r="BA25" s="333"/>
      <c r="BB25" s="336"/>
      <c r="BC25" s="332"/>
      <c r="BD25" s="356"/>
      <c r="BE25" s="332"/>
      <c r="BF25" s="332"/>
      <c r="BG25" s="332"/>
      <c r="BH25" s="332"/>
      <c r="BI25" s="332"/>
      <c r="BJ25" s="332"/>
      <c r="BK25" s="332"/>
      <c r="BL25" s="332"/>
      <c r="BM25" s="332"/>
      <c r="BN25" s="332"/>
      <c r="BO25" s="336"/>
    </row>
    <row r="26" spans="1:67" x14ac:dyDescent="0.2">
      <c r="B26" s="23" t="s">
        <v>59</v>
      </c>
      <c r="O26" s="40"/>
      <c r="AB26" s="40"/>
      <c r="AO26" s="40"/>
      <c r="BB26" s="40"/>
      <c r="BO26" s="40"/>
    </row>
    <row r="27" spans="1:67" x14ac:dyDescent="0.2">
      <c r="A27" s="342">
        <v>21</v>
      </c>
      <c r="B27" s="128" t="s">
        <v>56</v>
      </c>
      <c r="C27" s="343">
        <v>1337282</v>
      </c>
      <c r="D27" s="343">
        <v>75865</v>
      </c>
      <c r="E27" s="343">
        <v>386951</v>
      </c>
      <c r="F27" s="129">
        <v>297520</v>
      </c>
      <c r="G27" s="343">
        <v>424396</v>
      </c>
      <c r="H27" s="343">
        <v>283148</v>
      </c>
      <c r="I27" s="130">
        <v>475654</v>
      </c>
      <c r="J27" s="343">
        <v>634269</v>
      </c>
      <c r="K27" s="343">
        <v>462032</v>
      </c>
      <c r="L27" s="343">
        <v>305244</v>
      </c>
      <c r="M27" s="343">
        <v>267420</v>
      </c>
      <c r="N27" s="343">
        <v>243385</v>
      </c>
      <c r="O27" s="344">
        <v>167202</v>
      </c>
      <c r="P27" s="343">
        <v>1359686</v>
      </c>
      <c r="Q27" s="343">
        <v>75472</v>
      </c>
      <c r="R27" s="343">
        <v>387285</v>
      </c>
      <c r="S27" s="129">
        <v>299447</v>
      </c>
      <c r="T27" s="343">
        <v>419396</v>
      </c>
      <c r="U27" s="343">
        <v>275526</v>
      </c>
      <c r="V27" s="130">
        <v>479892</v>
      </c>
      <c r="W27" s="343">
        <v>636531</v>
      </c>
      <c r="X27" s="343">
        <v>468702</v>
      </c>
      <c r="Y27" s="343">
        <v>307231</v>
      </c>
      <c r="Z27" s="343">
        <v>265238</v>
      </c>
      <c r="AA27" s="343">
        <v>241235</v>
      </c>
      <c r="AB27" s="344">
        <v>167839</v>
      </c>
      <c r="AC27" s="343">
        <v>1370642</v>
      </c>
      <c r="AD27" s="343">
        <v>74684</v>
      </c>
      <c r="AE27" s="343">
        <v>386532</v>
      </c>
      <c r="AF27" s="129">
        <v>301861</v>
      </c>
      <c r="AG27" s="343">
        <v>421882</v>
      </c>
      <c r="AH27" s="343">
        <v>276891</v>
      </c>
      <c r="AI27" s="130">
        <v>482645</v>
      </c>
      <c r="AJ27" s="343">
        <v>638821</v>
      </c>
      <c r="AK27" s="343">
        <v>471124</v>
      </c>
      <c r="AL27" s="343">
        <v>308843</v>
      </c>
      <c r="AM27" s="343">
        <v>265544</v>
      </c>
      <c r="AN27" s="343">
        <v>240345</v>
      </c>
      <c r="AO27" s="344">
        <v>167484</v>
      </c>
      <c r="AP27" s="343">
        <v>1385340</v>
      </c>
      <c r="AQ27" s="343">
        <v>74129</v>
      </c>
      <c r="AR27" s="343">
        <v>387305</v>
      </c>
      <c r="AS27" s="129">
        <v>304754</v>
      </c>
      <c r="AT27" s="343">
        <v>424832</v>
      </c>
      <c r="AU27" s="343">
        <v>278963</v>
      </c>
      <c r="AV27" s="130">
        <v>485797</v>
      </c>
      <c r="AW27" s="343">
        <v>641292</v>
      </c>
      <c r="AX27" s="343">
        <v>474131</v>
      </c>
      <c r="AY27" s="343">
        <v>311134</v>
      </c>
      <c r="AZ27" s="343">
        <v>265848</v>
      </c>
      <c r="BA27" s="343">
        <v>240190</v>
      </c>
      <c r="BB27" s="344">
        <v>167607</v>
      </c>
      <c r="BC27" s="343">
        <v>1408760</v>
      </c>
      <c r="BD27" s="343">
        <v>74112</v>
      </c>
      <c r="BE27" s="343">
        <v>389925</v>
      </c>
      <c r="BF27" s="343">
        <v>309161</v>
      </c>
      <c r="BG27" s="343">
        <v>429101</v>
      </c>
      <c r="BH27" s="343">
        <v>283357</v>
      </c>
      <c r="BI27" s="130">
        <v>492350</v>
      </c>
      <c r="BJ27" s="343">
        <v>646205</v>
      </c>
      <c r="BK27" s="343">
        <v>478470</v>
      </c>
      <c r="BL27" s="343">
        <v>316051</v>
      </c>
      <c r="BM27" s="343">
        <v>268365</v>
      </c>
      <c r="BN27" s="343">
        <v>241084</v>
      </c>
      <c r="BO27" s="344">
        <v>168340</v>
      </c>
    </row>
    <row r="28" spans="1:67" x14ac:dyDescent="0.2">
      <c r="A28" s="342">
        <v>22</v>
      </c>
      <c r="B28" s="128" t="s">
        <v>57</v>
      </c>
      <c r="C28" s="343">
        <v>5648</v>
      </c>
      <c r="D28" s="343">
        <v>48631</v>
      </c>
      <c r="E28" s="343">
        <v>52589</v>
      </c>
      <c r="F28" s="129">
        <v>4187</v>
      </c>
      <c r="G28" s="343">
        <v>17522</v>
      </c>
      <c r="H28" s="343">
        <v>14913</v>
      </c>
      <c r="I28" s="130">
        <v>9377</v>
      </c>
      <c r="J28" s="343">
        <v>34061</v>
      </c>
      <c r="K28" s="343">
        <v>41898</v>
      </c>
      <c r="L28" s="343">
        <v>16434</v>
      </c>
      <c r="M28" s="343">
        <v>14469</v>
      </c>
      <c r="N28" s="343">
        <v>38472</v>
      </c>
      <c r="O28" s="344">
        <v>25881</v>
      </c>
      <c r="P28" s="343">
        <v>5833</v>
      </c>
      <c r="Q28" s="343">
        <v>48633</v>
      </c>
      <c r="R28" s="343">
        <v>52589</v>
      </c>
      <c r="S28" s="129">
        <v>4005</v>
      </c>
      <c r="T28" s="343">
        <v>17464</v>
      </c>
      <c r="U28" s="343">
        <v>15213</v>
      </c>
      <c r="V28" s="130">
        <v>9377</v>
      </c>
      <c r="W28" s="343">
        <v>33871</v>
      </c>
      <c r="X28" s="343">
        <v>42202</v>
      </c>
      <c r="Y28" s="343">
        <v>16434</v>
      </c>
      <c r="Z28" s="343">
        <v>14356</v>
      </c>
      <c r="AA28" s="343">
        <v>38155</v>
      </c>
      <c r="AB28" s="344">
        <v>26200</v>
      </c>
      <c r="AC28" s="343">
        <v>5833</v>
      </c>
      <c r="AD28" s="345">
        <v>48633</v>
      </c>
      <c r="AE28" s="343">
        <v>52589</v>
      </c>
      <c r="AF28" s="129">
        <v>4005</v>
      </c>
      <c r="AG28" s="343">
        <v>17465</v>
      </c>
      <c r="AH28" s="343">
        <v>15213</v>
      </c>
      <c r="AI28" s="130">
        <v>9378</v>
      </c>
      <c r="AJ28" s="343">
        <v>33871</v>
      </c>
      <c r="AK28" s="343">
        <v>42201</v>
      </c>
      <c r="AL28" s="343">
        <v>16434</v>
      </c>
      <c r="AM28" s="343">
        <v>14355</v>
      </c>
      <c r="AN28" s="343">
        <v>38155</v>
      </c>
      <c r="AO28" s="344">
        <v>26200</v>
      </c>
      <c r="AP28" s="343">
        <v>5833</v>
      </c>
      <c r="AQ28" s="343">
        <v>48634</v>
      </c>
      <c r="AR28" s="343">
        <v>52588</v>
      </c>
      <c r="AS28" s="129">
        <v>4005</v>
      </c>
      <c r="AT28" s="343">
        <v>17465</v>
      </c>
      <c r="AU28" s="343">
        <v>15213</v>
      </c>
      <c r="AV28" s="130">
        <v>9378</v>
      </c>
      <c r="AW28" s="343">
        <v>33871</v>
      </c>
      <c r="AX28" s="343">
        <v>42202</v>
      </c>
      <c r="AY28" s="343">
        <v>16434</v>
      </c>
      <c r="AZ28" s="343">
        <v>14356</v>
      </c>
      <c r="BA28" s="343">
        <v>38155</v>
      </c>
      <c r="BB28" s="344">
        <v>26199</v>
      </c>
      <c r="BC28" s="343">
        <v>5832</v>
      </c>
      <c r="BD28" s="343">
        <v>48637</v>
      </c>
      <c r="BE28" s="343">
        <v>52587</v>
      </c>
      <c r="BF28" s="343">
        <v>4005</v>
      </c>
      <c r="BG28" s="343">
        <v>17465</v>
      </c>
      <c r="BH28" s="343">
        <v>15213</v>
      </c>
      <c r="BI28" s="130">
        <v>9378</v>
      </c>
      <c r="BJ28" s="343">
        <v>33871</v>
      </c>
      <c r="BK28" s="343">
        <v>42202</v>
      </c>
      <c r="BL28" s="343">
        <v>16434</v>
      </c>
      <c r="BM28" s="343">
        <v>14356</v>
      </c>
      <c r="BN28" s="343">
        <v>38155</v>
      </c>
      <c r="BO28" s="344">
        <v>26191</v>
      </c>
    </row>
    <row r="29" spans="1:67" x14ac:dyDescent="0.2">
      <c r="A29" s="342">
        <v>23</v>
      </c>
      <c r="B29" s="131" t="s">
        <v>58</v>
      </c>
      <c r="C29" s="343">
        <f>C27/C28</f>
        <v>236.7708923512748</v>
      </c>
      <c r="D29" s="343">
        <f>D27/D28</f>
        <v>1.5600131603298308</v>
      </c>
      <c r="E29" s="343">
        <f>E27/E28</f>
        <v>7.3580216395063607</v>
      </c>
      <c r="F29" s="343">
        <f>F27/F28</f>
        <v>71.058036780511102</v>
      </c>
      <c r="G29" s="343">
        <f t="shared" ref="G29:R29" si="1">G27/G28</f>
        <v>24.220751055815548</v>
      </c>
      <c r="H29" s="343">
        <f t="shared" si="1"/>
        <v>18.986655937772412</v>
      </c>
      <c r="I29" s="343">
        <f t="shared" si="1"/>
        <v>50.7256052042231</v>
      </c>
      <c r="J29" s="343">
        <f t="shared" si="1"/>
        <v>18.621561316461641</v>
      </c>
      <c r="K29" s="343">
        <f t="shared" si="1"/>
        <v>11.027543080815313</v>
      </c>
      <c r="L29" s="343">
        <f t="shared" si="1"/>
        <v>18.57393209200438</v>
      </c>
      <c r="M29" s="343">
        <f t="shared" si="1"/>
        <v>18.482272444536594</v>
      </c>
      <c r="N29" s="343">
        <f t="shared" si="1"/>
        <v>6.3262892493241836</v>
      </c>
      <c r="O29" s="344">
        <f t="shared" si="1"/>
        <v>6.4604149762373941</v>
      </c>
      <c r="P29" s="343">
        <f t="shared" si="1"/>
        <v>233.10234870564031</v>
      </c>
      <c r="Q29" s="343">
        <f t="shared" si="1"/>
        <v>1.5518680731190755</v>
      </c>
      <c r="R29" s="343">
        <f t="shared" si="1"/>
        <v>7.36437277757706</v>
      </c>
      <c r="S29" s="343">
        <f>S27/S28</f>
        <v>74.768289637952563</v>
      </c>
      <c r="T29" s="343">
        <f t="shared" ref="T29:AF29" si="2">T27/T28</f>
        <v>24.014887769125057</v>
      </c>
      <c r="U29" s="343">
        <f t="shared" si="2"/>
        <v>18.1112206665352</v>
      </c>
      <c r="V29" s="343">
        <f t="shared" si="2"/>
        <v>51.177562120081049</v>
      </c>
      <c r="W29" s="343">
        <f t="shared" si="2"/>
        <v>18.792802102093237</v>
      </c>
      <c r="X29" s="343">
        <f t="shared" si="2"/>
        <v>11.10615610634567</v>
      </c>
      <c r="Y29" s="343">
        <f t="shared" si="2"/>
        <v>18.694839965924302</v>
      </c>
      <c r="Z29" s="343">
        <f t="shared" si="2"/>
        <v>18.475759264419057</v>
      </c>
      <c r="AA29" s="343">
        <f t="shared" si="2"/>
        <v>6.3225003276110598</v>
      </c>
      <c r="AB29" s="344">
        <f t="shared" si="2"/>
        <v>6.4060687022900762</v>
      </c>
      <c r="AC29" s="343">
        <f t="shared" si="2"/>
        <v>234.98062746442653</v>
      </c>
      <c r="AD29" s="343">
        <f t="shared" si="2"/>
        <v>1.5356650833795982</v>
      </c>
      <c r="AE29" s="343">
        <f t="shared" si="2"/>
        <v>7.3500541938428192</v>
      </c>
      <c r="AF29" s="343">
        <f t="shared" si="2"/>
        <v>75.371036204744073</v>
      </c>
      <c r="AG29" s="343">
        <f t="shared" ref="AG29:AS29" si="3">AG27/AG28</f>
        <v>24.155854566275409</v>
      </c>
      <c r="AH29" s="343">
        <f t="shared" si="3"/>
        <v>18.200946558864128</v>
      </c>
      <c r="AI29" s="343">
        <f t="shared" si="3"/>
        <v>51.46566432075069</v>
      </c>
      <c r="AJ29" s="343">
        <f t="shared" si="3"/>
        <v>18.860411561512798</v>
      </c>
      <c r="AK29" s="343">
        <f t="shared" si="3"/>
        <v>11.163811284092795</v>
      </c>
      <c r="AL29" s="343">
        <f t="shared" si="3"/>
        <v>18.792929292929294</v>
      </c>
      <c r="AM29" s="343">
        <f t="shared" si="3"/>
        <v>18.49836293974225</v>
      </c>
      <c r="AN29" s="343">
        <f t="shared" si="3"/>
        <v>6.2991744201284234</v>
      </c>
      <c r="AO29" s="344">
        <f t="shared" si="3"/>
        <v>6.3925190839694652</v>
      </c>
      <c r="AP29" s="343">
        <f t="shared" si="3"/>
        <v>237.50042859591977</v>
      </c>
      <c r="AQ29" s="343">
        <f t="shared" si="3"/>
        <v>1.5242217378788503</v>
      </c>
      <c r="AR29" s="343">
        <f t="shared" si="3"/>
        <v>7.3648931315128925</v>
      </c>
      <c r="AS29" s="343">
        <f t="shared" si="3"/>
        <v>76.09338327091136</v>
      </c>
      <c r="AT29" s="343">
        <f t="shared" ref="AT29:BF29" si="4">AT27/AT28</f>
        <v>24.324763813340969</v>
      </c>
      <c r="AU29" s="343">
        <f t="shared" si="4"/>
        <v>18.337145862091631</v>
      </c>
      <c r="AV29" s="343">
        <f t="shared" si="4"/>
        <v>51.801770100234592</v>
      </c>
      <c r="AW29" s="343">
        <f t="shared" si="4"/>
        <v>18.933364825366834</v>
      </c>
      <c r="AX29" s="343">
        <f t="shared" si="4"/>
        <v>11.23479929861144</v>
      </c>
      <c r="AY29" s="343">
        <f t="shared" si="4"/>
        <v>18.932335402214921</v>
      </c>
      <c r="AZ29" s="343">
        <f t="shared" si="4"/>
        <v>18.518250208971857</v>
      </c>
      <c r="BA29" s="343">
        <f t="shared" si="4"/>
        <v>6.2951120429825709</v>
      </c>
      <c r="BB29" s="344">
        <f t="shared" si="4"/>
        <v>6.3974579182411544</v>
      </c>
      <c r="BC29" s="343">
        <f t="shared" si="4"/>
        <v>241.55692729766804</v>
      </c>
      <c r="BD29" s="343">
        <f t="shared" si="4"/>
        <v>1.5237781935563459</v>
      </c>
      <c r="BE29" s="343">
        <f t="shared" si="4"/>
        <v>7.4148553825089847</v>
      </c>
      <c r="BF29" s="343">
        <f t="shared" si="4"/>
        <v>77.193757802746561</v>
      </c>
      <c r="BG29" s="343">
        <f t="shared" ref="BG29:BO29" si="5">BG27/BG28</f>
        <v>24.569195533924994</v>
      </c>
      <c r="BH29" s="343">
        <f t="shared" si="5"/>
        <v>18.625977782159996</v>
      </c>
      <c r="BI29" s="343">
        <f t="shared" si="5"/>
        <v>52.500533162721261</v>
      </c>
      <c r="BJ29" s="343">
        <f t="shared" si="5"/>
        <v>19.078415163414132</v>
      </c>
      <c r="BK29" s="343">
        <f t="shared" si="5"/>
        <v>11.337614331074356</v>
      </c>
      <c r="BL29" s="343">
        <f t="shared" si="5"/>
        <v>19.231532189363513</v>
      </c>
      <c r="BM29" s="343">
        <f t="shared" si="5"/>
        <v>18.693577598216773</v>
      </c>
      <c r="BN29" s="343">
        <f t="shared" si="5"/>
        <v>6.3185427860044552</v>
      </c>
      <c r="BO29" s="344">
        <f t="shared" si="5"/>
        <v>6.427398724752778</v>
      </c>
    </row>
    <row r="30" spans="1:67" ht="12.75" x14ac:dyDescent="0.2">
      <c r="A30" s="2"/>
      <c r="B30" s="132" t="s">
        <v>37</v>
      </c>
      <c r="O30" s="40"/>
      <c r="AB30" s="40"/>
      <c r="AO30" s="40"/>
      <c r="BB30" s="40"/>
      <c r="BO30" s="40"/>
    </row>
    <row r="31" spans="1:67" x14ac:dyDescent="0.2">
      <c r="A31" s="2">
        <v>24</v>
      </c>
      <c r="B31" s="20" t="s">
        <v>36</v>
      </c>
      <c r="C31" s="95">
        <f t="shared" ref="C31" si="6">(C7/C5)*100</f>
        <v>41.806147819843389</v>
      </c>
      <c r="D31" s="95">
        <f t="shared" ref="D31:BO31" si="7">(D7/D5)*100</f>
        <v>20.706303667390625</v>
      </c>
      <c r="E31" s="95"/>
      <c r="F31" s="95">
        <f t="shared" si="7"/>
        <v>13.406381841433173</v>
      </c>
      <c r="G31" s="95">
        <f t="shared" si="7"/>
        <v>21.532061012100755</v>
      </c>
      <c r="H31" s="95">
        <f t="shared" si="7"/>
        <v>23.942508448273301</v>
      </c>
      <c r="I31" s="95">
        <f t="shared" si="7"/>
        <v>15.931443886272751</v>
      </c>
      <c r="J31" s="95"/>
      <c r="K31" s="95">
        <f t="shared" si="7"/>
        <v>34.056403108667297</v>
      </c>
      <c r="L31" s="95">
        <f t="shared" si="7"/>
        <v>23.856568093430422</v>
      </c>
      <c r="M31" s="95">
        <f t="shared" si="7"/>
        <v>7.0467804465962267</v>
      </c>
      <c r="N31" s="95">
        <f t="shared" si="7"/>
        <v>15.232126573024113</v>
      </c>
      <c r="O31" s="347">
        <f t="shared" si="7"/>
        <v>29.703118804554734</v>
      </c>
      <c r="P31" s="95">
        <f t="shared" si="7"/>
        <v>23.395058058083357</v>
      </c>
      <c r="Q31" s="95">
        <f t="shared" si="7"/>
        <v>15.706828107950463</v>
      </c>
      <c r="R31" s="95">
        <f t="shared" si="7"/>
        <v>13.26672597584172</v>
      </c>
      <c r="S31" s="95">
        <f t="shared" si="7"/>
        <v>11.420154538257865</v>
      </c>
      <c r="T31" s="95">
        <f t="shared" si="7"/>
        <v>15.338891220435746</v>
      </c>
      <c r="U31" s="95">
        <f t="shared" si="7"/>
        <v>20.981173622143263</v>
      </c>
      <c r="V31" s="95">
        <f t="shared" si="7"/>
        <v>14.757751042071485</v>
      </c>
      <c r="W31" s="95">
        <f t="shared" si="7"/>
        <v>18.550534124867099</v>
      </c>
      <c r="X31" s="95">
        <f t="shared" si="7"/>
        <v>23.094454296241867</v>
      </c>
      <c r="Y31" s="95">
        <f t="shared" si="7"/>
        <v>16.249707687103335</v>
      </c>
      <c r="Z31" s="95">
        <f t="shared" si="7"/>
        <v>4.8514421598830673</v>
      </c>
      <c r="AA31" s="95">
        <f t="shared" si="7"/>
        <v>11.702807342075021</v>
      </c>
      <c r="AB31" s="347">
        <f t="shared" si="7"/>
        <v>23.188450806723601</v>
      </c>
      <c r="AC31" s="95">
        <f t="shared" si="7"/>
        <v>23.78696437207384</v>
      </c>
      <c r="AD31" s="95">
        <f t="shared" si="7"/>
        <v>12.851467951810697</v>
      </c>
      <c r="AE31" s="95">
        <f t="shared" si="7"/>
        <v>13.4088185412635</v>
      </c>
      <c r="AF31" s="95">
        <f t="shared" si="7"/>
        <v>12.479768802471312</v>
      </c>
      <c r="AG31" s="95">
        <f t="shared" si="7"/>
        <v>14.624589683865496</v>
      </c>
      <c r="AH31" s="95">
        <f t="shared" si="7"/>
        <v>21.646698978443929</v>
      </c>
      <c r="AI31" s="95">
        <f t="shared" si="7"/>
        <v>13.36350261166711</v>
      </c>
      <c r="AJ31" s="95">
        <f t="shared" si="7"/>
        <v>23.394425794495593</v>
      </c>
      <c r="AK31" s="95">
        <f t="shared" si="7"/>
        <v>25.375686118143648</v>
      </c>
      <c r="AL31" s="95">
        <f t="shared" si="7"/>
        <v>16.13129289059518</v>
      </c>
      <c r="AM31" s="95">
        <f t="shared" si="7"/>
        <v>4.7002341309347866</v>
      </c>
      <c r="AN31" s="95">
        <f t="shared" si="7"/>
        <v>12.960593171525945</v>
      </c>
      <c r="AO31" s="347">
        <f t="shared" si="7"/>
        <v>23.792546894565373</v>
      </c>
      <c r="AP31" s="95">
        <f t="shared" si="7"/>
        <v>24.230500110547464</v>
      </c>
      <c r="AQ31" s="95">
        <f t="shared" si="7"/>
        <v>14.288044946688029</v>
      </c>
      <c r="AR31" s="95">
        <f t="shared" si="7"/>
        <v>15.31388789216127</v>
      </c>
      <c r="AS31" s="95">
        <f t="shared" si="7"/>
        <v>14.860654993059628</v>
      </c>
      <c r="AT31" s="95">
        <f t="shared" si="7"/>
        <v>18.737492563503679</v>
      </c>
      <c r="AU31" s="95">
        <f t="shared" si="7"/>
        <v>23.752999839050538</v>
      </c>
      <c r="AV31" s="95">
        <f t="shared" si="7"/>
        <v>17.009440936547701</v>
      </c>
      <c r="AW31" s="95">
        <f t="shared" si="7"/>
        <v>23.518085632004698</v>
      </c>
      <c r="AX31" s="95">
        <f t="shared" si="7"/>
        <v>23.448139800588173</v>
      </c>
      <c r="AY31" s="95">
        <f t="shared" si="7"/>
        <v>20.724483164766362</v>
      </c>
      <c r="AZ31" s="95">
        <f t="shared" si="7"/>
        <v>5.8025848002850049</v>
      </c>
      <c r="BA31" s="95">
        <f t="shared" si="7"/>
        <v>13.862925838254531</v>
      </c>
      <c r="BB31" s="347">
        <f t="shared" si="7"/>
        <v>25.10372328898729</v>
      </c>
      <c r="BC31" s="95">
        <f t="shared" si="7"/>
        <v>26.903842428207486</v>
      </c>
      <c r="BD31" s="95">
        <f t="shared" si="7"/>
        <v>15.62872842460088</v>
      </c>
      <c r="BE31" s="95">
        <f t="shared" si="7"/>
        <v>16.842884639972201</v>
      </c>
      <c r="BF31" s="95">
        <f t="shared" si="7"/>
        <v>15.355995915397058</v>
      </c>
      <c r="BG31" s="95">
        <f t="shared" si="7"/>
        <v>21.035553943834717</v>
      </c>
      <c r="BH31" s="95">
        <f t="shared" si="7"/>
        <v>23.737564892041007</v>
      </c>
      <c r="BI31" s="95">
        <f t="shared" si="7"/>
        <v>19.249642568194925</v>
      </c>
      <c r="BJ31" s="95">
        <f t="shared" si="7"/>
        <v>24.429643072819072</v>
      </c>
      <c r="BK31" s="95">
        <f t="shared" si="7"/>
        <v>37.215610378530855</v>
      </c>
      <c r="BL31" s="95">
        <f t="shared" si="7"/>
        <v>22.490107212587652</v>
      </c>
      <c r="BM31" s="95">
        <f t="shared" si="7"/>
        <v>7.6936144726042199</v>
      </c>
      <c r="BN31" s="95">
        <f t="shared" si="7"/>
        <v>15.770155676816062</v>
      </c>
      <c r="BO31" s="347">
        <f t="shared" si="7"/>
        <v>25.432033607838513</v>
      </c>
    </row>
    <row r="32" spans="1:67" x14ac:dyDescent="0.2">
      <c r="A32" s="2">
        <v>25</v>
      </c>
      <c r="B32" s="20" t="s">
        <v>109</v>
      </c>
      <c r="C32" s="95">
        <f>C17-C14</f>
        <v>4507057000</v>
      </c>
      <c r="D32" s="95">
        <f t="shared" ref="D32:BO32" si="8">D17-D14</f>
        <v>231000616</v>
      </c>
      <c r="E32" s="95">
        <f t="shared" si="8"/>
        <v>789400000</v>
      </c>
      <c r="F32" s="95">
        <f t="shared" si="8"/>
        <v>459100000</v>
      </c>
      <c r="G32" s="95">
        <f t="shared" si="8"/>
        <v>0</v>
      </c>
      <c r="H32" s="95">
        <f t="shared" si="8"/>
        <v>558668603</v>
      </c>
      <c r="I32" s="95">
        <f t="shared" si="8"/>
        <v>1033290620</v>
      </c>
      <c r="J32" s="95"/>
      <c r="K32" s="95">
        <f t="shared" si="8"/>
        <v>849852020.17857146</v>
      </c>
      <c r="L32" s="95">
        <f t="shared" si="8"/>
        <v>654547183</v>
      </c>
      <c r="M32" s="95">
        <f t="shared" si="8"/>
        <v>516959988.41999996</v>
      </c>
      <c r="N32" s="95">
        <f t="shared" si="8"/>
        <v>714570020</v>
      </c>
      <c r="O32" s="347">
        <f t="shared" si="8"/>
        <v>450290706.13980246</v>
      </c>
      <c r="P32" s="95">
        <f t="shared" si="8"/>
        <v>6676914254</v>
      </c>
      <c r="Q32" s="95">
        <f t="shared" si="8"/>
        <v>420495984</v>
      </c>
      <c r="R32" s="95">
        <f t="shared" si="8"/>
        <v>803000000</v>
      </c>
      <c r="S32" s="95">
        <f t="shared" si="8"/>
        <v>510200000</v>
      </c>
      <c r="T32" s="95">
        <f t="shared" si="8"/>
        <v>719602219.33333325</v>
      </c>
      <c r="U32" s="95">
        <f t="shared" si="8"/>
        <v>624503937</v>
      </c>
      <c r="V32" s="95">
        <f t="shared" si="8"/>
        <v>1404574785</v>
      </c>
      <c r="W32" s="95">
        <f t="shared" si="8"/>
        <v>2366525364</v>
      </c>
      <c r="X32" s="95">
        <f t="shared" si="8"/>
        <v>1312936055.6071429</v>
      </c>
      <c r="Y32" s="95">
        <f t="shared" si="8"/>
        <v>730330511</v>
      </c>
      <c r="Z32" s="95">
        <f t="shared" si="8"/>
        <v>610263177</v>
      </c>
      <c r="AA32" s="95">
        <f t="shared" si="8"/>
        <v>808089347</v>
      </c>
      <c r="AB32" s="347">
        <f t="shared" si="8"/>
        <v>590835577.3985796</v>
      </c>
      <c r="AC32" s="95">
        <f t="shared" si="8"/>
        <v>6676914254</v>
      </c>
      <c r="AD32" s="95">
        <f t="shared" si="8"/>
        <v>432812443</v>
      </c>
      <c r="AE32" s="95">
        <f t="shared" si="8"/>
        <v>835746329</v>
      </c>
      <c r="AF32" s="95">
        <f t="shared" si="8"/>
        <v>465700000</v>
      </c>
      <c r="AG32" s="95">
        <f t="shared" si="8"/>
        <v>728650112.58139527</v>
      </c>
      <c r="AH32" s="95">
        <f t="shared" si="8"/>
        <v>626682269</v>
      </c>
      <c r="AI32" s="95">
        <f t="shared" si="8"/>
        <v>1596756727</v>
      </c>
      <c r="AJ32" s="95">
        <f t="shared" si="8"/>
        <v>2303322578</v>
      </c>
      <c r="AK32" s="95">
        <f t="shared" si="8"/>
        <v>1249026585.25</v>
      </c>
      <c r="AL32" s="95">
        <f t="shared" si="8"/>
        <v>746141255</v>
      </c>
      <c r="AM32" s="95">
        <f t="shared" si="8"/>
        <v>572212675</v>
      </c>
      <c r="AN32" s="95">
        <f t="shared" si="8"/>
        <v>827513388</v>
      </c>
      <c r="AO32" s="347">
        <f t="shared" si="8"/>
        <v>572833632.0574075</v>
      </c>
      <c r="AP32" s="95">
        <f t="shared" si="8"/>
        <v>6609696000</v>
      </c>
      <c r="AQ32" s="95">
        <f t="shared" si="8"/>
        <v>543393311</v>
      </c>
      <c r="AR32" s="95">
        <f t="shared" si="8"/>
        <v>836051356</v>
      </c>
      <c r="AS32" s="95">
        <f t="shared" si="8"/>
        <v>528200000</v>
      </c>
      <c r="AT32" s="95">
        <f t="shared" si="8"/>
        <v>740758528.67857146</v>
      </c>
      <c r="AU32" s="95">
        <f t="shared" si="8"/>
        <v>654731305</v>
      </c>
      <c r="AV32" s="95">
        <f t="shared" si="8"/>
        <v>1624484035</v>
      </c>
      <c r="AW32" s="95">
        <f t="shared" si="8"/>
        <v>2188308747</v>
      </c>
      <c r="AX32" s="95">
        <f t="shared" si="8"/>
        <v>1242987733.4285715</v>
      </c>
      <c r="AY32" s="95">
        <f t="shared" si="8"/>
        <v>764625711</v>
      </c>
      <c r="AZ32" s="95">
        <f t="shared" si="8"/>
        <v>621796683</v>
      </c>
      <c r="BA32" s="95">
        <f t="shared" si="8"/>
        <v>876163638</v>
      </c>
      <c r="BB32" s="347">
        <f t="shared" si="8"/>
        <v>581594871.88380814</v>
      </c>
      <c r="BC32" s="95">
        <f t="shared" si="8"/>
        <v>7269285000</v>
      </c>
      <c r="BD32" s="95">
        <f t="shared" si="8"/>
        <v>522881399</v>
      </c>
      <c r="BE32" s="95">
        <f t="shared" si="8"/>
        <v>894940526</v>
      </c>
      <c r="BF32" s="95">
        <f t="shared" si="8"/>
        <v>612100000.00000012</v>
      </c>
      <c r="BG32" s="95">
        <f t="shared" si="8"/>
        <v>815720576.25</v>
      </c>
      <c r="BH32" s="95">
        <f t="shared" si="8"/>
        <v>727792643</v>
      </c>
      <c r="BI32" s="95">
        <f t="shared" si="8"/>
        <v>1722134712</v>
      </c>
      <c r="BJ32" s="95">
        <f t="shared" si="8"/>
        <v>2477676777</v>
      </c>
      <c r="BK32" s="95">
        <f t="shared" si="8"/>
        <v>1375144482.1785715</v>
      </c>
      <c r="BL32" s="95">
        <f t="shared" si="8"/>
        <v>839569116</v>
      </c>
      <c r="BM32" s="95">
        <f t="shared" si="8"/>
        <v>662601247</v>
      </c>
      <c r="BN32" s="95">
        <f t="shared" si="8"/>
        <v>1042012550</v>
      </c>
      <c r="BO32" s="347">
        <f t="shared" si="8"/>
        <v>666272588.69965172</v>
      </c>
    </row>
    <row r="33" spans="1:67" x14ac:dyDescent="0.2">
      <c r="A33" s="2">
        <v>26</v>
      </c>
      <c r="B33" s="20" t="s">
        <v>39</v>
      </c>
      <c r="C33" s="95">
        <f>(C13/C17)*100</f>
        <v>42.810941028814469</v>
      </c>
      <c r="D33" s="95">
        <f t="shared" ref="D33:BO33" si="9">(D13/D17)*100</f>
        <v>99.566834055542088</v>
      </c>
      <c r="E33" s="95">
        <f t="shared" si="9"/>
        <v>67.433241471063383</v>
      </c>
      <c r="F33" s="95">
        <f t="shared" si="9"/>
        <v>74.979585170667974</v>
      </c>
      <c r="G33" s="95"/>
      <c r="H33" s="95">
        <f t="shared" si="9"/>
        <v>64.427474060149976</v>
      </c>
      <c r="I33" s="95">
        <f t="shared" si="9"/>
        <v>69.151881124640937</v>
      </c>
      <c r="J33" s="95"/>
      <c r="K33" s="95">
        <f t="shared" si="9"/>
        <v>56.260161289250277</v>
      </c>
      <c r="L33" s="95">
        <f t="shared" si="9"/>
        <v>61.017238501016294</v>
      </c>
      <c r="M33" s="95">
        <f t="shared" si="9"/>
        <v>63.194046146870399</v>
      </c>
      <c r="N33" s="95">
        <f t="shared" si="9"/>
        <v>79.256869255686695</v>
      </c>
      <c r="O33" s="347">
        <f t="shared" si="9"/>
        <v>52.273305821950856</v>
      </c>
      <c r="P33" s="95">
        <f t="shared" si="9"/>
        <v>64.512331231418003</v>
      </c>
      <c r="Q33" s="95">
        <f t="shared" si="9"/>
        <v>100</v>
      </c>
      <c r="R33" s="95">
        <f t="shared" si="9"/>
        <v>76.906216162021252</v>
      </c>
      <c r="S33" s="95">
        <f t="shared" si="9"/>
        <v>81.671202177044975</v>
      </c>
      <c r="T33" s="95">
        <f t="shared" si="9"/>
        <v>85.851130308859354</v>
      </c>
      <c r="U33" s="95">
        <f t="shared" si="9"/>
        <v>72.40079359930661</v>
      </c>
      <c r="V33" s="95">
        <f t="shared" si="9"/>
        <v>79.140315612640492</v>
      </c>
      <c r="W33" s="95">
        <f t="shared" si="9"/>
        <v>87.428549811060051</v>
      </c>
      <c r="X33" s="95">
        <f t="shared" si="9"/>
        <v>50.987895750580904</v>
      </c>
      <c r="Y33" s="95">
        <f t="shared" si="9"/>
        <v>67.359271337719377</v>
      </c>
      <c r="Z33" s="95">
        <f t="shared" si="9"/>
        <v>92.615101938095819</v>
      </c>
      <c r="AA33" s="95">
        <f t="shared" si="9"/>
        <v>84.572308754131456</v>
      </c>
      <c r="AB33" s="347">
        <f t="shared" si="9"/>
        <v>66.119150538724298</v>
      </c>
      <c r="AC33" s="95">
        <f t="shared" si="9"/>
        <v>64.512331231418003</v>
      </c>
      <c r="AD33" s="95">
        <f t="shared" si="9"/>
        <v>100</v>
      </c>
      <c r="AE33" s="95">
        <f t="shared" si="9"/>
        <v>74.145411525397378</v>
      </c>
      <c r="AF33" s="95">
        <f t="shared" si="9"/>
        <v>76.095222350801777</v>
      </c>
      <c r="AG33" s="95">
        <f t="shared" si="9"/>
        <v>80.764530388322811</v>
      </c>
      <c r="AH33" s="95">
        <f t="shared" si="9"/>
        <v>72.505197419250223</v>
      </c>
      <c r="AI33" s="95">
        <f t="shared" si="9"/>
        <v>81.214888837519013</v>
      </c>
      <c r="AJ33" s="95">
        <f t="shared" si="9"/>
        <v>81.924972672637992</v>
      </c>
      <c r="AK33" s="95">
        <f t="shared" si="9"/>
        <v>53.665966488997817</v>
      </c>
      <c r="AL33" s="95">
        <f t="shared" si="9"/>
        <v>66.173497660284141</v>
      </c>
      <c r="AM33" s="95">
        <f t="shared" si="9"/>
        <v>77.11978049880635</v>
      </c>
      <c r="AN33" s="95">
        <f t="shared" si="9"/>
        <v>81.930220038391028</v>
      </c>
      <c r="AO33" s="347">
        <f t="shared" si="9"/>
        <v>65.492687320855111</v>
      </c>
      <c r="AP33" s="95">
        <f t="shared" si="9"/>
        <v>51.552001157449482</v>
      </c>
      <c r="AQ33" s="95">
        <f t="shared" si="9"/>
        <v>100</v>
      </c>
      <c r="AR33" s="95">
        <f t="shared" si="9"/>
        <v>73.910856286356491</v>
      </c>
      <c r="AS33" s="95">
        <f t="shared" si="9"/>
        <v>74.067796610169495</v>
      </c>
      <c r="AT33" s="95">
        <f t="shared" si="9"/>
        <v>76.133577406605639</v>
      </c>
      <c r="AU33" s="95">
        <f t="shared" si="9"/>
        <v>67.08439615926531</v>
      </c>
      <c r="AV33" s="95">
        <f t="shared" si="9"/>
        <v>76.687797034163509</v>
      </c>
      <c r="AW33" s="95">
        <f t="shared" si="9"/>
        <v>73.266446722240474</v>
      </c>
      <c r="AX33" s="95">
        <f t="shared" si="9"/>
        <v>50.268948064444515</v>
      </c>
      <c r="AY33" s="95">
        <f t="shared" si="9"/>
        <v>63.984429147850022</v>
      </c>
      <c r="AZ33" s="95">
        <f t="shared" si="9"/>
        <v>78.322654728490747</v>
      </c>
      <c r="BA33" s="95">
        <f t="shared" si="9"/>
        <v>77.278424735281476</v>
      </c>
      <c r="BB33" s="347">
        <f t="shared" si="9"/>
        <v>61.262240728402595</v>
      </c>
      <c r="BC33" s="95">
        <f t="shared" si="9"/>
        <v>50.876764146809229</v>
      </c>
      <c r="BD33" s="95">
        <f t="shared" si="9"/>
        <v>100</v>
      </c>
      <c r="BE33" s="95">
        <f t="shared" si="9"/>
        <v>71.649386147691203</v>
      </c>
      <c r="BF33" s="95">
        <f t="shared" si="9"/>
        <v>74.489417007055309</v>
      </c>
      <c r="BG33" s="95">
        <f t="shared" si="9"/>
        <v>71.351410649821048</v>
      </c>
      <c r="BH33" s="95">
        <f t="shared" si="9"/>
        <v>73.53426398894895</v>
      </c>
      <c r="BI33" s="95">
        <f t="shared" si="9"/>
        <v>75.266485827133593</v>
      </c>
      <c r="BJ33" s="95">
        <f t="shared" si="9"/>
        <v>68.726934701426686</v>
      </c>
      <c r="BK33" s="95">
        <f t="shared" si="9"/>
        <v>54.743044704134277</v>
      </c>
      <c r="BL33" s="95">
        <f t="shared" si="9"/>
        <v>62.98349637305558</v>
      </c>
      <c r="BM33" s="95">
        <f t="shared" si="9"/>
        <v>67.734385977847339</v>
      </c>
      <c r="BN33" s="95">
        <f t="shared" si="9"/>
        <v>75.694317740917356</v>
      </c>
      <c r="BO33" s="347">
        <f t="shared" si="9"/>
        <v>65.719312331408858</v>
      </c>
    </row>
    <row r="34" spans="1:67" x14ac:dyDescent="0.2">
      <c r="A34" s="2">
        <v>27</v>
      </c>
      <c r="B34" s="20" t="s">
        <v>48</v>
      </c>
      <c r="C34" s="95">
        <f>(C14/C17)*100</f>
        <v>50.888142976352292</v>
      </c>
      <c r="D34" s="95">
        <f t="shared" ref="D34:BO34" si="10">(D14/D17)*100</f>
        <v>0</v>
      </c>
      <c r="E34" s="95">
        <f t="shared" si="10"/>
        <v>24.983369761474862</v>
      </c>
      <c r="F34" s="95">
        <f t="shared" si="10"/>
        <v>25.020414829332026</v>
      </c>
      <c r="G34" s="95"/>
      <c r="H34" s="95">
        <f t="shared" si="10"/>
        <v>25.531828829915838</v>
      </c>
      <c r="I34" s="95">
        <f t="shared" si="10"/>
        <v>30.552581570954167</v>
      </c>
      <c r="J34" s="95"/>
      <c r="K34" s="95">
        <f t="shared" si="10"/>
        <v>39.989065715398951</v>
      </c>
      <c r="L34" s="95">
        <f t="shared" si="10"/>
        <v>23.105592687473099</v>
      </c>
      <c r="M34" s="95">
        <f t="shared" si="10"/>
        <v>35.311753885895257</v>
      </c>
      <c r="N34" s="95">
        <f t="shared" si="10"/>
        <v>25.073052461105842</v>
      </c>
      <c r="O34" s="347">
        <f t="shared" si="10"/>
        <v>40.245329309576626</v>
      </c>
      <c r="P34" s="95">
        <f t="shared" si="10"/>
        <v>30.555381157681271</v>
      </c>
      <c r="Q34" s="95">
        <f t="shared" si="10"/>
        <v>0</v>
      </c>
      <c r="R34" s="95">
        <f t="shared" si="10"/>
        <v>19.490675756968116</v>
      </c>
      <c r="S34" s="95">
        <f t="shared" si="10"/>
        <v>18.328797822955018</v>
      </c>
      <c r="T34" s="95">
        <f t="shared" si="10"/>
        <v>17.778687844808179</v>
      </c>
      <c r="U34" s="95">
        <f t="shared" si="10"/>
        <v>13.060383480560178</v>
      </c>
      <c r="V34" s="95">
        <f t="shared" si="10"/>
        <v>20.822643477234603</v>
      </c>
      <c r="W34" s="95">
        <f t="shared" si="10"/>
        <v>23.239607749498102</v>
      </c>
      <c r="X34" s="95">
        <f t="shared" si="10"/>
        <v>21.366866119364328</v>
      </c>
      <c r="Y34" s="95">
        <f t="shared" si="10"/>
        <v>17.513816858018561</v>
      </c>
      <c r="Z34" s="95">
        <f t="shared" si="10"/>
        <v>23.410420775656455</v>
      </c>
      <c r="AA34" s="95">
        <f t="shared" si="10"/>
        <v>16.95283013132207</v>
      </c>
      <c r="AB34" s="347">
        <f t="shared" si="10"/>
        <v>27.105444496288676</v>
      </c>
      <c r="AC34" s="95">
        <f t="shared" si="10"/>
        <v>30.555381157681271</v>
      </c>
      <c r="AD34" s="95">
        <f t="shared" si="10"/>
        <v>0</v>
      </c>
      <c r="AE34" s="95">
        <f t="shared" si="10"/>
        <v>21.092853363302527</v>
      </c>
      <c r="AF34" s="95">
        <f t="shared" si="10"/>
        <v>23.012068110431478</v>
      </c>
      <c r="AG34" s="95">
        <f t="shared" si="10"/>
        <v>20.051053135251649</v>
      </c>
      <c r="AH34" s="95">
        <f t="shared" si="10"/>
        <v>14.496872483524825</v>
      </c>
      <c r="AI34" s="95">
        <f t="shared" si="10"/>
        <v>19.512833312013921</v>
      </c>
      <c r="AJ34" s="95">
        <f t="shared" si="10"/>
        <v>25.582000649281877</v>
      </c>
      <c r="AK34" s="95">
        <f t="shared" si="10"/>
        <v>22.234124213968716</v>
      </c>
      <c r="AL34" s="95">
        <f t="shared" si="10"/>
        <v>18.194341427232068</v>
      </c>
      <c r="AM34" s="95">
        <f t="shared" si="10"/>
        <v>26.708692873752792</v>
      </c>
      <c r="AN34" s="95">
        <f t="shared" si="10"/>
        <v>17.631748606456995</v>
      </c>
      <c r="AO34" s="347">
        <f t="shared" si="10"/>
        <v>27.64818761471129</v>
      </c>
      <c r="AP34" s="95">
        <f t="shared" si="10"/>
        <v>40.82310343648254</v>
      </c>
      <c r="AQ34" s="95">
        <f t="shared" si="10"/>
        <v>0</v>
      </c>
      <c r="AR34" s="95">
        <f t="shared" si="10"/>
        <v>24.668443317169139</v>
      </c>
      <c r="AS34" s="95">
        <f t="shared" si="10"/>
        <v>25.395480225988699</v>
      </c>
      <c r="AT34" s="95">
        <f t="shared" si="10"/>
        <v>22.989450307100395</v>
      </c>
      <c r="AU34" s="95">
        <f t="shared" si="10"/>
        <v>19.958352337782241</v>
      </c>
      <c r="AV34" s="95">
        <f t="shared" si="10"/>
        <v>22.561068697080959</v>
      </c>
      <c r="AW34" s="95">
        <f t="shared" si="10"/>
        <v>31.344108901026512</v>
      </c>
      <c r="AX34" s="95">
        <f t="shared" si="10"/>
        <v>30.26600052402047</v>
      </c>
      <c r="AY34" s="95">
        <f t="shared" si="10"/>
        <v>20.065471704260201</v>
      </c>
      <c r="AZ34" s="95">
        <f t="shared" si="10"/>
        <v>27.101098983877453</v>
      </c>
      <c r="BA34" s="95">
        <f t="shared" si="10"/>
        <v>19.883855298221111</v>
      </c>
      <c r="BB34" s="347">
        <f t="shared" si="10"/>
        <v>32.190777031128583</v>
      </c>
      <c r="BC34" s="95">
        <f t="shared" si="10"/>
        <v>40.59002118210843</v>
      </c>
      <c r="BD34" s="95">
        <f t="shared" si="10"/>
        <v>2.3347841414266246</v>
      </c>
      <c r="BE34" s="95">
        <f t="shared" si="10"/>
        <v>25.224709770982461</v>
      </c>
      <c r="BF34" s="95">
        <f t="shared" si="10"/>
        <v>24.235672731773729</v>
      </c>
      <c r="BG34" s="95">
        <f t="shared" si="10"/>
        <v>23.06743035065789</v>
      </c>
      <c r="BH34" s="95">
        <f t="shared" si="10"/>
        <v>20.227882351224842</v>
      </c>
      <c r="BI34" s="95">
        <f t="shared" si="10"/>
        <v>25.221555465419794</v>
      </c>
      <c r="BJ34" s="95">
        <f t="shared" si="10"/>
        <v>30.438092564680719</v>
      </c>
      <c r="BK34" s="95">
        <f t="shared" si="10"/>
        <v>31.4752330404887</v>
      </c>
      <c r="BL34" s="95">
        <f t="shared" si="10"/>
        <v>20.495581278542225</v>
      </c>
      <c r="BM34" s="95">
        <f t="shared" si="10"/>
        <v>28.591412623129159</v>
      </c>
      <c r="BN34" s="95">
        <f t="shared" si="10"/>
        <v>18.689579877256175</v>
      </c>
      <c r="BO34" s="347">
        <f t="shared" si="10"/>
        <v>33.32530800069928</v>
      </c>
    </row>
    <row r="35" spans="1:67" x14ac:dyDescent="0.2">
      <c r="A35" s="2">
        <v>28</v>
      </c>
      <c r="B35" s="20" t="s">
        <v>47</v>
      </c>
      <c r="C35" s="95">
        <f>(C32/C17)*100</f>
        <v>49.111857023647708</v>
      </c>
      <c r="D35" s="95">
        <f t="shared" ref="D35:BO35" si="11">(D32/D17)*100</f>
        <v>100</v>
      </c>
      <c r="E35" s="95">
        <f t="shared" si="11"/>
        <v>75.016630238525138</v>
      </c>
      <c r="F35" s="95">
        <f t="shared" si="11"/>
        <v>74.979585170667974</v>
      </c>
      <c r="G35" s="95"/>
      <c r="H35" s="95">
        <f t="shared" si="11"/>
        <v>74.468171170084162</v>
      </c>
      <c r="I35" s="95">
        <f t="shared" si="11"/>
        <v>69.447418429045825</v>
      </c>
      <c r="J35" s="95"/>
      <c r="K35" s="95">
        <f t="shared" si="11"/>
        <v>60.010934284601049</v>
      </c>
      <c r="L35" s="95">
        <f t="shared" si="11"/>
        <v>76.894407312526909</v>
      </c>
      <c r="M35" s="95">
        <f t="shared" si="11"/>
        <v>64.688246114104743</v>
      </c>
      <c r="N35" s="95">
        <f t="shared" si="11"/>
        <v>74.926947538894169</v>
      </c>
      <c r="O35" s="347">
        <f t="shared" si="11"/>
        <v>59.754670690423374</v>
      </c>
      <c r="P35" s="95">
        <f t="shared" si="11"/>
        <v>69.444618842318732</v>
      </c>
      <c r="Q35" s="95">
        <f t="shared" si="11"/>
        <v>100</v>
      </c>
      <c r="R35" s="95">
        <f t="shared" si="11"/>
        <v>80.509324243031884</v>
      </c>
      <c r="S35" s="95">
        <f t="shared" si="11"/>
        <v>81.671202177044975</v>
      </c>
      <c r="T35" s="95">
        <f t="shared" si="11"/>
        <v>82.221312155191811</v>
      </c>
      <c r="U35" s="95">
        <f t="shared" si="11"/>
        <v>86.939616519439824</v>
      </c>
      <c r="V35" s="95">
        <f t="shared" si="11"/>
        <v>79.177356522765393</v>
      </c>
      <c r="W35" s="95">
        <f t="shared" si="11"/>
        <v>76.760392250501894</v>
      </c>
      <c r="X35" s="95">
        <f t="shared" si="11"/>
        <v>78.633133880635668</v>
      </c>
      <c r="Y35" s="95">
        <f t="shared" si="11"/>
        <v>82.486183141981442</v>
      </c>
      <c r="Z35" s="95">
        <f t="shared" si="11"/>
        <v>76.589579224343538</v>
      </c>
      <c r="AA35" s="95">
        <f t="shared" si="11"/>
        <v>83.047169868677926</v>
      </c>
      <c r="AB35" s="347">
        <f t="shared" si="11"/>
        <v>72.894555503711317</v>
      </c>
      <c r="AC35" s="95">
        <f t="shared" si="11"/>
        <v>69.444618842318732</v>
      </c>
      <c r="AD35" s="95">
        <f t="shared" si="11"/>
        <v>100</v>
      </c>
      <c r="AE35" s="95">
        <f t="shared" si="11"/>
        <v>78.907146636697476</v>
      </c>
      <c r="AF35" s="95">
        <f t="shared" si="11"/>
        <v>76.987931889568529</v>
      </c>
      <c r="AG35" s="95">
        <f t="shared" si="11"/>
        <v>79.948946864748351</v>
      </c>
      <c r="AH35" s="95">
        <f t="shared" si="11"/>
        <v>85.503127516475175</v>
      </c>
      <c r="AI35" s="95">
        <f t="shared" si="11"/>
        <v>80.487166687986075</v>
      </c>
      <c r="AJ35" s="95">
        <f t="shared" si="11"/>
        <v>74.417999350718119</v>
      </c>
      <c r="AK35" s="95">
        <f t="shared" si="11"/>
        <v>77.765875786031273</v>
      </c>
      <c r="AL35" s="95">
        <f t="shared" si="11"/>
        <v>81.805658572767925</v>
      </c>
      <c r="AM35" s="95">
        <f t="shared" si="11"/>
        <v>73.291307126247204</v>
      </c>
      <c r="AN35" s="95">
        <f t="shared" si="11"/>
        <v>82.368251393543005</v>
      </c>
      <c r="AO35" s="347">
        <f t="shared" si="11"/>
        <v>72.35181238528871</v>
      </c>
      <c r="AP35" s="95">
        <f t="shared" si="11"/>
        <v>59.17689656351746</v>
      </c>
      <c r="AQ35" s="95">
        <f t="shared" si="11"/>
        <v>100</v>
      </c>
      <c r="AR35" s="95">
        <f t="shared" si="11"/>
        <v>75.331556682830865</v>
      </c>
      <c r="AS35" s="95">
        <f t="shared" si="11"/>
        <v>74.604519774011308</v>
      </c>
      <c r="AT35" s="95">
        <f t="shared" si="11"/>
        <v>77.010549692899616</v>
      </c>
      <c r="AU35" s="95">
        <f t="shared" si="11"/>
        <v>80.041647662217756</v>
      </c>
      <c r="AV35" s="95">
        <f t="shared" si="11"/>
        <v>77.43893130291903</v>
      </c>
      <c r="AW35" s="95">
        <f t="shared" si="11"/>
        <v>68.655891098973484</v>
      </c>
      <c r="AX35" s="95">
        <f t="shared" si="11"/>
        <v>69.73399947597953</v>
      </c>
      <c r="AY35" s="95">
        <f t="shared" si="11"/>
        <v>79.934528295739796</v>
      </c>
      <c r="AZ35" s="95">
        <f t="shared" si="11"/>
        <v>72.898901016122537</v>
      </c>
      <c r="BA35" s="95">
        <f t="shared" si="11"/>
        <v>80.116144701778893</v>
      </c>
      <c r="BB35" s="347">
        <f t="shared" si="11"/>
        <v>67.809222968871424</v>
      </c>
      <c r="BC35" s="95">
        <f t="shared" si="11"/>
        <v>59.409978817891563</v>
      </c>
      <c r="BD35" s="95">
        <f t="shared" si="11"/>
        <v>97.665215858573376</v>
      </c>
      <c r="BE35" s="95">
        <f t="shared" si="11"/>
        <v>74.775290229017529</v>
      </c>
      <c r="BF35" s="95">
        <f t="shared" si="11"/>
        <v>75.764327268226268</v>
      </c>
      <c r="BG35" s="95">
        <f t="shared" si="11"/>
        <v>76.932569649342113</v>
      </c>
      <c r="BH35" s="95">
        <f t="shared" si="11"/>
        <v>79.772117648775165</v>
      </c>
      <c r="BI35" s="95">
        <f t="shared" si="11"/>
        <v>74.778444534580203</v>
      </c>
      <c r="BJ35" s="95">
        <f t="shared" si="11"/>
        <v>69.561907435319284</v>
      </c>
      <c r="BK35" s="95">
        <f t="shared" si="11"/>
        <v>68.524766959511311</v>
      </c>
      <c r="BL35" s="95">
        <f t="shared" si="11"/>
        <v>79.504418721457768</v>
      </c>
      <c r="BM35" s="95">
        <f t="shared" si="11"/>
        <v>71.408587376870841</v>
      </c>
      <c r="BN35" s="95">
        <f t="shared" si="11"/>
        <v>81.310420122743835</v>
      </c>
      <c r="BO35" s="347">
        <f t="shared" si="11"/>
        <v>66.674691999300734</v>
      </c>
    </row>
    <row r="36" spans="1:67" x14ac:dyDescent="0.2">
      <c r="A36" s="2">
        <v>29</v>
      </c>
      <c r="B36" s="20" t="s">
        <v>40</v>
      </c>
      <c r="C36" s="95">
        <f>C15/C27</f>
        <v>6805.6894506917761</v>
      </c>
      <c r="D36" s="95">
        <f t="shared" ref="D36:BO36" si="12">D15/D27</f>
        <v>3044.8904765043167</v>
      </c>
      <c r="E36" s="95">
        <f t="shared" si="12"/>
        <v>2435.7089140485486</v>
      </c>
      <c r="F36" s="95">
        <f t="shared" si="12"/>
        <v>1890.2930895401989</v>
      </c>
      <c r="G36" s="95"/>
      <c r="H36" s="95">
        <f t="shared" si="12"/>
        <v>2649.5188629268087</v>
      </c>
      <c r="I36" s="95">
        <f t="shared" si="12"/>
        <v>2933.7336929785097</v>
      </c>
      <c r="J36" s="95"/>
      <c r="K36" s="95">
        <f t="shared" si="12"/>
        <v>2941.1013847525714</v>
      </c>
      <c r="L36" s="95">
        <f t="shared" si="12"/>
        <v>2788.6817300258153</v>
      </c>
      <c r="M36" s="95">
        <f t="shared" si="12"/>
        <v>2972.2634956248598</v>
      </c>
      <c r="N36" s="95">
        <f t="shared" si="12"/>
        <v>3918.4376646054607</v>
      </c>
      <c r="O36" s="347">
        <f t="shared" si="12"/>
        <v>4506.9180161708737</v>
      </c>
      <c r="P36" s="95">
        <f t="shared" si="12"/>
        <v>7013.187147620848</v>
      </c>
      <c r="Q36" s="95">
        <f t="shared" si="12"/>
        <v>3043.689778990884</v>
      </c>
      <c r="R36" s="95">
        <f t="shared" si="12"/>
        <v>2375.5115741637296</v>
      </c>
      <c r="S36" s="95">
        <f t="shared" si="12"/>
        <v>1913.5272685984498</v>
      </c>
      <c r="T36" s="95">
        <f t="shared" si="12"/>
        <v>1997.1086501646282</v>
      </c>
      <c r="U36" s="95">
        <f t="shared" si="12"/>
        <v>2607.0748822252708</v>
      </c>
      <c r="V36" s="95">
        <f t="shared" si="12"/>
        <v>3418.449426120877</v>
      </c>
      <c r="W36" s="95">
        <f t="shared" si="12"/>
        <v>4602.858640034814</v>
      </c>
      <c r="X36" s="95">
        <f t="shared" si="12"/>
        <v>3429.4247602954542</v>
      </c>
      <c r="Y36" s="95">
        <f t="shared" si="12"/>
        <v>2881.4741546263235</v>
      </c>
      <c r="Z36" s="95">
        <f t="shared" si="12"/>
        <v>2971.5287892383444</v>
      </c>
      <c r="AA36" s="95">
        <f t="shared" si="12"/>
        <v>4033.6129831906646</v>
      </c>
      <c r="AB36" s="347">
        <f t="shared" si="12"/>
        <v>4829.2386000785255</v>
      </c>
      <c r="AC36" s="95">
        <f t="shared" si="12"/>
        <v>6957.1283967658956</v>
      </c>
      <c r="AD36" s="95">
        <f t="shared" si="12"/>
        <v>3153.3817952975201</v>
      </c>
      <c r="AE36" s="95">
        <f t="shared" si="12"/>
        <v>2518.222493868554</v>
      </c>
      <c r="AF36" s="95">
        <f t="shared" si="12"/>
        <v>1843.8950377822905</v>
      </c>
      <c r="AG36" s="95">
        <f t="shared" si="12"/>
        <v>2059.6559557103092</v>
      </c>
      <c r="AH36" s="95">
        <f t="shared" si="12"/>
        <v>2647.0147675439071</v>
      </c>
      <c r="AI36" s="95">
        <f t="shared" si="12"/>
        <v>3829.4541971842659</v>
      </c>
      <c r="AJ36" s="95">
        <f t="shared" si="12"/>
        <v>4570.4483071157647</v>
      </c>
      <c r="AK36" s="95">
        <f t="shared" si="12"/>
        <v>3195.6981686350091</v>
      </c>
      <c r="AL36" s="95">
        <f t="shared" si="12"/>
        <v>2953.2382699300292</v>
      </c>
      <c r="AM36" s="95">
        <f t="shared" si="12"/>
        <v>2920.1911622932548</v>
      </c>
      <c r="AN36" s="95">
        <f t="shared" si="12"/>
        <v>4180.0366598015353</v>
      </c>
      <c r="AO36" s="347">
        <f t="shared" si="12"/>
        <v>4727.2195078778122</v>
      </c>
      <c r="AP36" s="95">
        <f t="shared" si="12"/>
        <v>8000.8416706368116</v>
      </c>
      <c r="AQ36" s="95">
        <f t="shared" si="12"/>
        <v>3785.2562694761832</v>
      </c>
      <c r="AR36" s="95">
        <f t="shared" si="12"/>
        <v>2625.7579607802636</v>
      </c>
      <c r="AS36" s="95">
        <f t="shared" si="12"/>
        <v>2176.181444706222</v>
      </c>
      <c r="AT36" s="95">
        <f t="shared" si="12"/>
        <v>2160.8552564812176</v>
      </c>
      <c r="AU36" s="95">
        <f t="shared" si="12"/>
        <v>2932.2229327903701</v>
      </c>
      <c r="AV36" s="95">
        <f t="shared" si="12"/>
        <v>3973.7114000292304</v>
      </c>
      <c r="AW36" s="95">
        <f t="shared" si="12"/>
        <v>4667.0671503776748</v>
      </c>
      <c r="AX36" s="95">
        <f t="shared" si="12"/>
        <v>3506.6830939128636</v>
      </c>
      <c r="AY36" s="95">
        <f t="shared" si="12"/>
        <v>3074.3972629156569</v>
      </c>
      <c r="AZ36" s="95">
        <f t="shared" si="12"/>
        <v>3179.2418524871355</v>
      </c>
      <c r="BA36" s="95">
        <f t="shared" si="12"/>
        <v>4553.1322078354633</v>
      </c>
      <c r="BB36" s="347">
        <f t="shared" si="12"/>
        <v>5117.2855064753139</v>
      </c>
      <c r="BC36" s="95">
        <f t="shared" si="12"/>
        <v>8595.3590391550024</v>
      </c>
      <c r="BD36" s="95">
        <f t="shared" si="12"/>
        <v>3880.4209439766842</v>
      </c>
      <c r="BE36" s="95">
        <f t="shared" si="12"/>
        <v>2848.5351721484899</v>
      </c>
      <c r="BF36" s="95">
        <f t="shared" si="12"/>
        <v>2489.6413195713562</v>
      </c>
      <c r="BG36" s="95">
        <f t="shared" si="12"/>
        <v>2339.5093150730081</v>
      </c>
      <c r="BH36" s="95">
        <f t="shared" si="12"/>
        <v>3219.7322953023922</v>
      </c>
      <c r="BI36" s="95">
        <f t="shared" si="12"/>
        <v>4313.8663003960601</v>
      </c>
      <c r="BJ36" s="95">
        <f t="shared" si="12"/>
        <v>5171.5929650807402</v>
      </c>
      <c r="BK36" s="95">
        <f t="shared" si="12"/>
        <v>3840.6161661128181</v>
      </c>
      <c r="BL36" s="95">
        <f t="shared" si="12"/>
        <v>3340.7066707588333</v>
      </c>
      <c r="BM36" s="95">
        <f t="shared" si="12"/>
        <v>3428.9775156969054</v>
      </c>
      <c r="BN36" s="95">
        <f t="shared" si="12"/>
        <v>5315.6742131373294</v>
      </c>
      <c r="BO36" s="347">
        <f t="shared" si="12"/>
        <v>5936.1327592945918</v>
      </c>
    </row>
    <row r="37" spans="1:67" x14ac:dyDescent="0.2">
      <c r="A37" s="2">
        <v>30</v>
      </c>
      <c r="B37" s="20" t="s">
        <v>41</v>
      </c>
      <c r="C37" s="95">
        <f>C15/C5</f>
        <v>1.6088255258971187</v>
      </c>
      <c r="D37" s="95">
        <f t="shared" ref="D37:BO37" si="13">D15/D5</f>
        <v>0.96971832557764337</v>
      </c>
      <c r="E37" s="95"/>
      <c r="F37" s="95">
        <f t="shared" si="13"/>
        <v>1.0932982210941533</v>
      </c>
      <c r="G37" s="95"/>
      <c r="H37" s="95">
        <f t="shared" si="13"/>
        <v>1.2414391056127674</v>
      </c>
      <c r="I37" s="95">
        <f t="shared" si="13"/>
        <v>1.3147645477843906</v>
      </c>
      <c r="J37" s="95"/>
      <c r="K37" s="95">
        <f t="shared" si="13"/>
        <v>0.95879112490954532</v>
      </c>
      <c r="L37" s="95">
        <f t="shared" si="13"/>
        <v>1.14467075890756</v>
      </c>
      <c r="M37" s="95">
        <f t="shared" si="13"/>
        <v>0.89201759135860692</v>
      </c>
      <c r="N37" s="95">
        <f t="shared" si="13"/>
        <v>1.4164177969586136</v>
      </c>
      <c r="O37" s="347">
        <f t="shared" si="13"/>
        <v>1.2332843757050711</v>
      </c>
      <c r="P37" s="95">
        <f t="shared" si="13"/>
        <v>1.6984576615320803</v>
      </c>
      <c r="Q37" s="95">
        <f t="shared" si="13"/>
        <v>1.0046027592546174</v>
      </c>
      <c r="R37" s="95">
        <f t="shared" si="13"/>
        <v>1.490595508086872</v>
      </c>
      <c r="S37" s="95">
        <f t="shared" si="13"/>
        <v>1.1386482741493205</v>
      </c>
      <c r="T37" s="95">
        <f t="shared" si="13"/>
        <v>1.1015138644279361</v>
      </c>
      <c r="U37" s="95">
        <f t="shared" si="13"/>
        <v>1.2102252845733932</v>
      </c>
      <c r="V37" s="95">
        <f t="shared" si="13"/>
        <v>1.488264427886113</v>
      </c>
      <c r="W37" s="95">
        <f t="shared" si="13"/>
        <v>1.2960348634981682</v>
      </c>
      <c r="X37" s="95">
        <f t="shared" si="13"/>
        <v>1.0964510567086201</v>
      </c>
      <c r="Y37" s="95">
        <f t="shared" si="13"/>
        <v>1.0612787512314172</v>
      </c>
      <c r="Z37" s="95">
        <f t="shared" si="13"/>
        <v>0.88934781960452247</v>
      </c>
      <c r="AA37" s="95">
        <f t="shared" si="13"/>
        <v>1.5148425102711776</v>
      </c>
      <c r="AB37" s="347">
        <f t="shared" si="13"/>
        <v>1.2743623752608575</v>
      </c>
      <c r="AC37" s="95">
        <f t="shared" si="13"/>
        <v>1.622653280437296</v>
      </c>
      <c r="AD37" s="95">
        <f t="shared" si="13"/>
        <v>1.0016913096284918</v>
      </c>
      <c r="AE37" s="95">
        <f t="shared" si="13"/>
        <v>1.4352297879126343</v>
      </c>
      <c r="AF37" s="95">
        <f t="shared" si="13"/>
        <v>1.2590457152803611</v>
      </c>
      <c r="AG37" s="95">
        <f t="shared" si="13"/>
        <v>1.1332693172053023</v>
      </c>
      <c r="AH37" s="95">
        <f t="shared" si="13"/>
        <v>1.2655642058255709</v>
      </c>
      <c r="AI37" s="95">
        <f t="shared" si="13"/>
        <v>1.5600902010784532</v>
      </c>
      <c r="AJ37" s="95">
        <f t="shared" si="13"/>
        <v>1.3988022691942079</v>
      </c>
      <c r="AK37" s="95">
        <f t="shared" si="13"/>
        <v>0.98757236521194725</v>
      </c>
      <c r="AL37" s="95">
        <f t="shared" si="13"/>
        <v>1.0563310508535619</v>
      </c>
      <c r="AM37" s="95">
        <f t="shared" si="13"/>
        <v>0.88588361085380185</v>
      </c>
      <c r="AN37" s="95">
        <f t="shared" si="13"/>
        <v>1.6948751729742415</v>
      </c>
      <c r="AO37" s="347">
        <f t="shared" si="13"/>
        <v>1.2287637028219751</v>
      </c>
      <c r="AP37" s="95">
        <f t="shared" si="13"/>
        <v>1.88866456363077</v>
      </c>
      <c r="AQ37" s="95">
        <f t="shared" si="13"/>
        <v>1.2217346184080846</v>
      </c>
      <c r="AR37" s="95">
        <f t="shared" si="13"/>
        <v>1.4797322829144925</v>
      </c>
      <c r="AS37" s="95">
        <f t="shared" si="13"/>
        <v>1.4719784084738174</v>
      </c>
      <c r="AT37" s="95">
        <f t="shared" si="13"/>
        <v>1.2003449877652004</v>
      </c>
      <c r="AU37" s="95">
        <f t="shared" si="13"/>
        <v>1.3934264139600574</v>
      </c>
      <c r="AV37" s="95">
        <f t="shared" si="13"/>
        <v>1.6984236469889986</v>
      </c>
      <c r="AW37" s="95">
        <f t="shared" si="13"/>
        <v>1.2258604091750376</v>
      </c>
      <c r="AX37" s="95">
        <f t="shared" si="13"/>
        <v>1.1003014621008453</v>
      </c>
      <c r="AY37" s="95">
        <f t="shared" si="13"/>
        <v>1.1455749746390136</v>
      </c>
      <c r="AZ37" s="95">
        <f t="shared" si="13"/>
        <v>1.0012776318548413</v>
      </c>
      <c r="BA37" s="95">
        <f t="shared" si="13"/>
        <v>1.8481190917056214</v>
      </c>
      <c r="BB37" s="347">
        <f t="shared" si="13"/>
        <v>1.3829269961392654</v>
      </c>
      <c r="BC37" s="95">
        <f t="shared" si="13"/>
        <v>2.0859870475653213</v>
      </c>
      <c r="BD37" s="95">
        <f t="shared" si="13"/>
        <v>1.2624820796367833</v>
      </c>
      <c r="BE37" s="95">
        <f t="shared" si="13"/>
        <v>1.63176595122524</v>
      </c>
      <c r="BF37" s="95">
        <f t="shared" si="13"/>
        <v>1.6966129917713322</v>
      </c>
      <c r="BG37" s="95">
        <f t="shared" si="13"/>
        <v>1.3069757043695891</v>
      </c>
      <c r="BH37" s="95">
        <f t="shared" si="13"/>
        <v>1.569100845984323</v>
      </c>
      <c r="BI37" s="95">
        <f t="shared" si="13"/>
        <v>1.9331360069278529</v>
      </c>
      <c r="BJ37" s="95">
        <f t="shared" si="13"/>
        <v>1.2245013062651016</v>
      </c>
      <c r="BK37" s="95">
        <f t="shared" si="13"/>
        <v>1.2556536825690083</v>
      </c>
      <c r="BL37" s="95">
        <f t="shared" si="13"/>
        <v>1.2509964037903674</v>
      </c>
      <c r="BM37" s="95">
        <f t="shared" si="13"/>
        <v>1.1202262105211327</v>
      </c>
      <c r="BN37" s="95">
        <f t="shared" si="13"/>
        <v>2.1561229426036439</v>
      </c>
      <c r="BO37" s="347">
        <f t="shared" si="13"/>
        <v>1.4907009217484404</v>
      </c>
    </row>
    <row r="38" spans="1:67" x14ac:dyDescent="0.2">
      <c r="A38" s="2">
        <v>32</v>
      </c>
      <c r="B38" s="20" t="s">
        <v>42</v>
      </c>
      <c r="C38" s="95">
        <f>C17/C6</f>
        <v>25.762155623665251</v>
      </c>
      <c r="D38" s="95">
        <f t="shared" ref="D38:BO38" si="14">D17/D6</f>
        <v>139.85450085093063</v>
      </c>
      <c r="E38" s="95">
        <f t="shared" si="14"/>
        <v>93.131261889214954</v>
      </c>
      <c r="F38" s="95">
        <f t="shared" si="14"/>
        <v>60.074337946063977</v>
      </c>
      <c r="G38" s="95"/>
      <c r="H38" s="95">
        <f t="shared" si="14"/>
        <v>59.421478332237911</v>
      </c>
      <c r="I38" s="95">
        <f t="shared" si="14"/>
        <v>52.992235984030046</v>
      </c>
      <c r="J38" s="95"/>
      <c r="K38" s="95">
        <f t="shared" si="14"/>
        <v>33.271437876431136</v>
      </c>
      <c r="L38" s="95">
        <f t="shared" si="14"/>
        <v>44.704794412382519</v>
      </c>
      <c r="M38" s="95">
        <f t="shared" si="14"/>
        <v>122.71065790017171</v>
      </c>
      <c r="N38" s="95">
        <f t="shared" si="14"/>
        <v>112.1687180791205</v>
      </c>
      <c r="O38" s="347">
        <f t="shared" si="14"/>
        <v>57.640317545582739</v>
      </c>
      <c r="P38" s="95">
        <f t="shared" si="14"/>
        <v>44.342893619852553</v>
      </c>
      <c r="Q38" s="95">
        <f t="shared" si="14"/>
        <v>334.79699324746633</v>
      </c>
      <c r="R38" s="95">
        <f t="shared" si="14"/>
        <v>132.45808825023451</v>
      </c>
      <c r="S38" s="95">
        <f t="shared" si="14"/>
        <v>88.716653324375045</v>
      </c>
      <c r="T38" s="95">
        <f t="shared" si="14"/>
        <v>73.658888041001504</v>
      </c>
      <c r="U38" s="95">
        <f t="shared" si="14"/>
        <v>81.331152181321855</v>
      </c>
      <c r="V38" s="95">
        <f t="shared" si="14"/>
        <v>83.851156933230627</v>
      </c>
      <c r="W38" s="95">
        <f t="shared" si="14"/>
        <v>175.23435902828302</v>
      </c>
      <c r="X38" s="95">
        <f t="shared" si="14"/>
        <v>55.60902163988203</v>
      </c>
      <c r="Y38" s="95">
        <f t="shared" si="14"/>
        <v>61.293981659518337</v>
      </c>
      <c r="Z38" s="95">
        <f t="shared" si="14"/>
        <v>178.48782848071224</v>
      </c>
      <c r="AA38" s="95">
        <f t="shared" si="14"/>
        <v>165.07811010787393</v>
      </c>
      <c r="AB38" s="347">
        <f t="shared" si="14"/>
        <v>74.522616111127988</v>
      </c>
      <c r="AC38" s="95">
        <f t="shared" si="14"/>
        <v>43.081115790823098</v>
      </c>
      <c r="AD38" s="95">
        <f t="shared" si="14"/>
        <v>466.41634112934599</v>
      </c>
      <c r="AE38" s="95">
        <f t="shared" si="14"/>
        <v>125.83330400811396</v>
      </c>
      <c r="AF38" s="95">
        <f t="shared" si="14"/>
        <v>89.721323995433394</v>
      </c>
      <c r="AG38" s="95">
        <f t="shared" si="14"/>
        <v>79.320669962487955</v>
      </c>
      <c r="AH38" s="95">
        <f t="shared" si="14"/>
        <v>80.320551076407412</v>
      </c>
      <c r="AI38" s="95">
        <f t="shared" si="14"/>
        <v>81.523221933145749</v>
      </c>
      <c r="AJ38" s="95">
        <f t="shared" si="14"/>
        <v>50.834590694084028</v>
      </c>
      <c r="AK38" s="95">
        <f t="shared" si="14"/>
        <v>46.457843475782731</v>
      </c>
      <c r="AL38" s="95">
        <f t="shared" si="14"/>
        <v>61.410188116120054</v>
      </c>
      <c r="AM38" s="95">
        <f t="shared" si="14"/>
        <v>181.75231841237058</v>
      </c>
      <c r="AN38" s="95">
        <f t="shared" si="14"/>
        <v>162.59097107496868</v>
      </c>
      <c r="AO38" s="347">
        <f t="shared" si="14"/>
        <v>64.147435775880595</v>
      </c>
      <c r="AP38" s="95">
        <f t="shared" si="14"/>
        <v>36.643694841721441</v>
      </c>
      <c r="AQ38" s="95">
        <f t="shared" si="14"/>
        <v>524.19468081514526</v>
      </c>
      <c r="AR38" s="95">
        <f t="shared" si="14"/>
        <v>113.65902166275609</v>
      </c>
      <c r="AS38" s="95">
        <f t="shared" si="14"/>
        <v>96.167886309998806</v>
      </c>
      <c r="AT38" s="95">
        <f t="shared" si="14"/>
        <v>66.354462835402884</v>
      </c>
      <c r="AU38" s="95">
        <f t="shared" si="14"/>
        <v>72.889715835642207</v>
      </c>
      <c r="AV38" s="95">
        <f t="shared" si="14"/>
        <v>69.221182473829984</v>
      </c>
      <c r="AW38" s="95">
        <f t="shared" si="14"/>
        <v>40.591388217464946</v>
      </c>
      <c r="AX38" s="95">
        <f t="shared" si="14"/>
        <v>41.607123025277133</v>
      </c>
      <c r="AY38" s="95">
        <f t="shared" si="14"/>
        <v>52.06174097546679</v>
      </c>
      <c r="AZ38" s="95">
        <f t="shared" si="14"/>
        <v>164.31601912402297</v>
      </c>
      <c r="BA38" s="95">
        <f t="shared" si="14"/>
        <v>160.12765869906187</v>
      </c>
      <c r="BB38" s="347">
        <f t="shared" si="14"/>
        <v>56.227164080960975</v>
      </c>
      <c r="BC38" s="95">
        <f t="shared" si="14"/>
        <v>35.644380545277926</v>
      </c>
      <c r="BD38" s="95">
        <f t="shared" si="14"/>
        <v>339.60363757691937</v>
      </c>
      <c r="BE38" s="95">
        <f t="shared" si="14"/>
        <v>111.67021390645263</v>
      </c>
      <c r="BF38" s="95">
        <f t="shared" si="14"/>
        <v>91.41850768197223</v>
      </c>
      <c r="BG38" s="95">
        <f t="shared" si="14"/>
        <v>64.98535748288117</v>
      </c>
      <c r="BH38" s="95">
        <f t="shared" si="14"/>
        <v>75.682923478704936</v>
      </c>
      <c r="BI38" s="95">
        <f t="shared" si="14"/>
        <v>64.148887895652294</v>
      </c>
      <c r="BJ38" s="95">
        <f t="shared" si="14"/>
        <v>39.966223909067445</v>
      </c>
      <c r="BK38" s="95">
        <f t="shared" si="14"/>
        <v>41.034220303351297</v>
      </c>
      <c r="BL38" s="95">
        <f t="shared" si="14"/>
        <v>50.52728184138293</v>
      </c>
      <c r="BM38" s="95">
        <f t="shared" si="14"/>
        <v>136.29587324781326</v>
      </c>
      <c r="BN38" s="95">
        <f t="shared" si="14"/>
        <v>163.33003008835843</v>
      </c>
      <c r="BO38" s="347">
        <f t="shared" si="14"/>
        <v>55.2769904313597</v>
      </c>
    </row>
    <row r="39" spans="1:67" x14ac:dyDescent="0.2">
      <c r="A39" s="2">
        <v>33</v>
      </c>
      <c r="B39" s="20" t="s">
        <v>43</v>
      </c>
      <c r="C39" s="95">
        <f>C14/C6</f>
        <v>13.109882587561156</v>
      </c>
      <c r="D39" s="95">
        <f t="shared" ref="D39:BO39" si="15">D14/D6</f>
        <v>0</v>
      </c>
      <c r="E39" s="95">
        <f t="shared" si="15"/>
        <v>23.26732752131009</v>
      </c>
      <c r="F39" s="95">
        <f t="shared" si="15"/>
        <v>15.030848560080029</v>
      </c>
      <c r="G39" s="95"/>
      <c r="H39" s="95">
        <f t="shared" si="15"/>
        <v>15.171390135992512</v>
      </c>
      <c r="I39" s="95">
        <f t="shared" si="15"/>
        <v>16.190496125293308</v>
      </c>
      <c r="J39" s="95"/>
      <c r="K39" s="95">
        <f t="shared" si="15"/>
        <v>13.304937156864185</v>
      </c>
      <c r="L39" s="95">
        <f t="shared" si="15"/>
        <v>10.329307708697337</v>
      </c>
      <c r="M39" s="95">
        <f t="shared" si="15"/>
        <v>43.33128550947152</v>
      </c>
      <c r="N39" s="95">
        <f t="shared" si="15"/>
        <v>28.124121528927798</v>
      </c>
      <c r="O39" s="347">
        <f t="shared" si="15"/>
        <v>23.197535611305451</v>
      </c>
      <c r="P39" s="95">
        <f t="shared" si="15"/>
        <v>13.549140161891076</v>
      </c>
      <c r="Q39" s="95">
        <f t="shared" si="15"/>
        <v>0</v>
      </c>
      <c r="R39" s="95">
        <f t="shared" si="15"/>
        <v>25.81697649473189</v>
      </c>
      <c r="S39" s="95">
        <f t="shared" si="15"/>
        <v>16.260696023116601</v>
      </c>
      <c r="T39" s="95">
        <f t="shared" si="15"/>
        <v>13.095583774766398</v>
      </c>
      <c r="U39" s="95">
        <f t="shared" si="15"/>
        <v>10.622160364038619</v>
      </c>
      <c r="V39" s="95">
        <f t="shared" si="15"/>
        <v>17.460027459743095</v>
      </c>
      <c r="W39" s="95">
        <f t="shared" si="15"/>
        <v>40.723777680520186</v>
      </c>
      <c r="X39" s="95">
        <f t="shared" si="15"/>
        <v>11.881905204081932</v>
      </c>
      <c r="Y39" s="95">
        <f t="shared" si="15"/>
        <v>10.734915692835527</v>
      </c>
      <c r="Z39" s="95">
        <f t="shared" si="15"/>
        <v>41.784751680666716</v>
      </c>
      <c r="AA39" s="95">
        <f t="shared" si="15"/>
        <v>27.985411590584672</v>
      </c>
      <c r="AB39" s="347">
        <f t="shared" si="15"/>
        <v>20.199686347184077</v>
      </c>
      <c r="AC39" s="95">
        <f t="shared" si="15"/>
        <v>13.163599136868012</v>
      </c>
      <c r="AD39" s="95">
        <f t="shared" si="15"/>
        <v>0</v>
      </c>
      <c r="AE39" s="95">
        <f t="shared" si="15"/>
        <v>26.541834296630157</v>
      </c>
      <c r="AF39" s="95">
        <f t="shared" si="15"/>
        <v>20.646732187410031</v>
      </c>
      <c r="AG39" s="95">
        <f t="shared" si="15"/>
        <v>15.904629681416052</v>
      </c>
      <c r="AH39" s="95">
        <f t="shared" si="15"/>
        <v>11.643967867611209</v>
      </c>
      <c r="AI39" s="95">
        <f t="shared" si="15"/>
        <v>15.907490406397905</v>
      </c>
      <c r="AJ39" s="95">
        <f t="shared" si="15"/>
        <v>13.004505321420359</v>
      </c>
      <c r="AK39" s="95">
        <f t="shared" si="15"/>
        <v>10.329494625536695</v>
      </c>
      <c r="AL39" s="95">
        <f t="shared" si="15"/>
        <v>11.173179296952377</v>
      </c>
      <c r="AM39" s="95">
        <f t="shared" si="15"/>
        <v>48.543668515685312</v>
      </c>
      <c r="AN39" s="95">
        <f t="shared" si="15"/>
        <v>28.667631276735683</v>
      </c>
      <c r="AO39" s="347">
        <f t="shared" si="15"/>
        <v>17.735603393341894</v>
      </c>
      <c r="AP39" s="95">
        <f t="shared" si="15"/>
        <v>14.959093448184962</v>
      </c>
      <c r="AQ39" s="95">
        <f t="shared" si="15"/>
        <v>0</v>
      </c>
      <c r="AR39" s="95">
        <f t="shared" si="15"/>
        <v>28.03791133372598</v>
      </c>
      <c r="AS39" s="95">
        <f t="shared" si="15"/>
        <v>24.422296551607044</v>
      </c>
      <c r="AT39" s="95">
        <f t="shared" si="15"/>
        <v>15.254526260088346</v>
      </c>
      <c r="AU39" s="95">
        <f t="shared" si="15"/>
        <v>14.547586304485732</v>
      </c>
      <c r="AV39" s="95">
        <f t="shared" si="15"/>
        <v>15.617038530852549</v>
      </c>
      <c r="AW39" s="95">
        <f t="shared" si="15"/>
        <v>12.723008927320658</v>
      </c>
      <c r="AX39" s="95">
        <f t="shared" si="15"/>
        <v>12.592812072860218</v>
      </c>
      <c r="AY39" s="95">
        <f t="shared" si="15"/>
        <v>10.446433904177528</v>
      </c>
      <c r="AZ39" s="95">
        <f t="shared" si="15"/>
        <v>44.531446989168472</v>
      </c>
      <c r="BA39" s="95">
        <f t="shared" si="15"/>
        <v>31.839551948150831</v>
      </c>
      <c r="BB39" s="347">
        <f t="shared" si="15"/>
        <v>18.099961020228964</v>
      </c>
      <c r="BC39" s="95">
        <f t="shared" si="15"/>
        <v>14.468061613559646</v>
      </c>
      <c r="BD39" s="95">
        <f t="shared" si="15"/>
        <v>7.9290118738538613</v>
      </c>
      <c r="BE39" s="95">
        <f t="shared" si="15"/>
        <v>28.168487358537977</v>
      </c>
      <c r="BF39" s="95">
        <f t="shared" si="15"/>
        <v>22.155890338074219</v>
      </c>
      <c r="BG39" s="95">
        <f t="shared" si="15"/>
        <v>14.990452075489657</v>
      </c>
      <c r="BH39" s="95">
        <f t="shared" si="15"/>
        <v>15.309052721239954</v>
      </c>
      <c r="BI39" s="95">
        <f t="shared" si="15"/>
        <v>16.179347341051908</v>
      </c>
      <c r="BJ39" s="95">
        <f t="shared" si="15"/>
        <v>12.164956228049506</v>
      </c>
      <c r="BK39" s="95">
        <f t="shared" si="15"/>
        <v>12.915616466827348</v>
      </c>
      <c r="BL39" s="95">
        <f t="shared" si="15"/>
        <v>10.355860117638747</v>
      </c>
      <c r="BM39" s="95">
        <f t="shared" si="15"/>
        <v>38.9689155085794</v>
      </c>
      <c r="BN39" s="95">
        <f t="shared" si="15"/>
        <v>30.525696436910291</v>
      </c>
      <c r="BO39" s="347">
        <f t="shared" si="15"/>
        <v>18.421227314767691</v>
      </c>
    </row>
    <row r="40" spans="1:67" x14ac:dyDescent="0.2">
      <c r="A40" s="2">
        <v>34</v>
      </c>
      <c r="B40" s="20" t="s">
        <v>44</v>
      </c>
      <c r="C40" s="95">
        <f t="shared" ref="C40" si="16">C13/C6</f>
        <v>11.02902125179874</v>
      </c>
      <c r="D40" s="95">
        <f t="shared" ref="D40:BO40" si="17">D13/D6</f>
        <v>139.24869878145279</v>
      </c>
      <c r="E40" s="95">
        <f t="shared" si="17"/>
        <v>62.801428714802746</v>
      </c>
      <c r="F40" s="95">
        <f t="shared" si="17"/>
        <v>45.043489385983946</v>
      </c>
      <c r="G40" s="95"/>
      <c r="H40" s="95">
        <f t="shared" si="17"/>
        <v>38.283757538660211</v>
      </c>
      <c r="I40" s="95">
        <f t="shared" si="17"/>
        <v>36.645128032965651</v>
      </c>
      <c r="J40" s="95"/>
      <c r="K40" s="95">
        <f t="shared" si="17"/>
        <v>18.718564612532866</v>
      </c>
      <c r="L40" s="95">
        <f t="shared" si="17"/>
        <v>27.277631027992445</v>
      </c>
      <c r="M40" s="95">
        <f t="shared" si="17"/>
        <v>77.545829780562769</v>
      </c>
      <c r="N40" s="95">
        <f t="shared" si="17"/>
        <v>88.901414233748341</v>
      </c>
      <c r="O40" s="347">
        <f t="shared" si="17"/>
        <v>30.130499467346066</v>
      </c>
      <c r="P40" s="95">
        <f t="shared" si="17"/>
        <v>28.606634409634601</v>
      </c>
      <c r="Q40" s="95">
        <f t="shared" si="17"/>
        <v>334.79699324746633</v>
      </c>
      <c r="R40" s="95">
        <f t="shared" si="17"/>
        <v>101.86850367380622</v>
      </c>
      <c r="S40" s="95">
        <f t="shared" si="17"/>
        <v>72.455957301258437</v>
      </c>
      <c r="T40" s="95">
        <f t="shared" si="17"/>
        <v>63.236987956137021</v>
      </c>
      <c r="U40" s="95">
        <f t="shared" si="17"/>
        <v>58.884399622736787</v>
      </c>
      <c r="V40" s="95">
        <f t="shared" si="17"/>
        <v>66.360070241809197</v>
      </c>
      <c r="W40" s="95">
        <f t="shared" si="17"/>
        <v>153.20485886913423</v>
      </c>
      <c r="X40" s="95">
        <f t="shared" si="17"/>
        <v>28.353869981661028</v>
      </c>
      <c r="Y40" s="95">
        <f t="shared" si="17"/>
        <v>41.287179419726904</v>
      </c>
      <c r="Z40" s="95">
        <f t="shared" si="17"/>
        <v>165.30668429450526</v>
      </c>
      <c r="AA40" s="95">
        <f t="shared" si="17"/>
        <v>139.61036896591622</v>
      </c>
      <c r="AB40" s="347">
        <f t="shared" si="17"/>
        <v>49.27372073191232</v>
      </c>
      <c r="AC40" s="95">
        <f t="shared" si="17"/>
        <v>27.792632117166526</v>
      </c>
      <c r="AD40" s="95">
        <f t="shared" si="17"/>
        <v>466.41634112934599</v>
      </c>
      <c r="AE40" s="95">
        <f t="shared" si="17"/>
        <v>93.299621092820445</v>
      </c>
      <c r="AF40" s="95">
        <f t="shared" si="17"/>
        <v>68.27364099040831</v>
      </c>
      <c r="AG40" s="95">
        <f t="shared" si="17"/>
        <v>64.06296659607483</v>
      </c>
      <c r="AH40" s="95">
        <f t="shared" si="17"/>
        <v>58.236574126178901</v>
      </c>
      <c r="AI40" s="95">
        <f t="shared" si="17"/>
        <v>66.208994069768238</v>
      </c>
      <c r="AJ40" s="95">
        <f t="shared" si="17"/>
        <v>41.646224534375719</v>
      </c>
      <c r="AK40" s="95">
        <f t="shared" si="17"/>
        <v>24.932050711224619</v>
      </c>
      <c r="AL40" s="95">
        <f t="shared" si="17"/>
        <v>40.637269396196793</v>
      </c>
      <c r="AM40" s="95">
        <f t="shared" si="17"/>
        <v>140.16698901111181</v>
      </c>
      <c r="AN40" s="95">
        <f t="shared" si="17"/>
        <v>133.21114036427855</v>
      </c>
      <c r="AO40" s="347">
        <f t="shared" si="17"/>
        <v>42.011879537043825</v>
      </c>
      <c r="AP40" s="95">
        <f t="shared" si="17"/>
        <v>18.890557988936493</v>
      </c>
      <c r="AQ40" s="95">
        <f t="shared" si="17"/>
        <v>524.19468081514526</v>
      </c>
      <c r="AR40" s="95">
        <f t="shared" si="17"/>
        <v>84.00635615763845</v>
      </c>
      <c r="AS40" s="95">
        <f t="shared" si="17"/>
        <v>71.229434436388956</v>
      </c>
      <c r="AT40" s="95">
        <f t="shared" si="17"/>
        <v>50.518026325528822</v>
      </c>
      <c r="AU40" s="95">
        <f t="shared" si="17"/>
        <v>48.897625730544959</v>
      </c>
      <c r="AV40" s="95">
        <f t="shared" si="17"/>
        <v>53.084199920178705</v>
      </c>
      <c r="AW40" s="95">
        <f t="shared" si="17"/>
        <v>29.739867822166755</v>
      </c>
      <c r="AX40" s="95">
        <f t="shared" si="17"/>
        <v>20.915463064686097</v>
      </c>
      <c r="AY40" s="95">
        <f t="shared" si="17"/>
        <v>33.311407767584747</v>
      </c>
      <c r="AZ40" s="95">
        <f t="shared" si="17"/>
        <v>128.69666832210933</v>
      </c>
      <c r="BA40" s="95">
        <f t="shared" si="17"/>
        <v>123.74413220812293</v>
      </c>
      <c r="BB40" s="347">
        <f t="shared" si="17"/>
        <v>34.446020614032221</v>
      </c>
      <c r="BC40" s="95">
        <f t="shared" si="17"/>
        <v>18.134707421612202</v>
      </c>
      <c r="BD40" s="95">
        <f t="shared" si="17"/>
        <v>339.60363757691937</v>
      </c>
      <c r="BE40" s="95">
        <f t="shared" si="17"/>
        <v>80.011022773787005</v>
      </c>
      <c r="BF40" s="95">
        <f t="shared" si="17"/>
        <v>68.0971134088512</v>
      </c>
      <c r="BG40" s="95">
        <f t="shared" si="17"/>
        <v>46.367969279864752</v>
      </c>
      <c r="BH40" s="95">
        <f t="shared" si="17"/>
        <v>55.652880745385104</v>
      </c>
      <c r="BI40" s="95">
        <f t="shared" si="17"/>
        <v>48.282613616244952</v>
      </c>
      <c r="BJ40" s="95">
        <f t="shared" si="17"/>
        <v>27.467560608610764</v>
      </c>
      <c r="BK40" s="95">
        <f t="shared" si="17"/>
        <v>22.463381564656547</v>
      </c>
      <c r="BL40" s="95">
        <f t="shared" si="17"/>
        <v>31.823848725970993</v>
      </c>
      <c r="BM40" s="95">
        <f t="shared" si="17"/>
        <v>92.319172857551393</v>
      </c>
      <c r="BN40" s="95">
        <f t="shared" si="17"/>
        <v>123.63155194141794</v>
      </c>
      <c r="BO40" s="347">
        <f t="shared" si="17"/>
        <v>36.327657988988264</v>
      </c>
    </row>
    <row r="41" spans="1:67" x14ac:dyDescent="0.2">
      <c r="A41" s="2">
        <v>36</v>
      </c>
      <c r="B41" s="20" t="s">
        <v>51</v>
      </c>
      <c r="C41" s="95">
        <f t="shared" ref="C41" si="18">(C19*100000)/C6</f>
        <v>13.702291743043787</v>
      </c>
      <c r="D41" s="95">
        <f t="shared" ref="D41:BO41" si="19">(D19*100000)/D6</f>
        <v>902.69482557889614</v>
      </c>
      <c r="E41" s="95">
        <f t="shared" si="19"/>
        <v>82.564054182693752</v>
      </c>
      <c r="F41" s="95">
        <f t="shared" si="19"/>
        <v>39.480505617338146</v>
      </c>
      <c r="G41" s="95"/>
      <c r="H41" s="95">
        <f t="shared" si="19"/>
        <v>26.78757987760088</v>
      </c>
      <c r="I41" s="95">
        <f t="shared" si="19"/>
        <v>0</v>
      </c>
      <c r="J41" s="95"/>
      <c r="K41" s="95">
        <f t="shared" si="19"/>
        <v>104.6967178331945</v>
      </c>
      <c r="L41" s="95">
        <f t="shared" si="19"/>
        <v>95.043559188771781</v>
      </c>
      <c r="M41" s="95">
        <f t="shared" si="19"/>
        <v>399.88002661948371</v>
      </c>
      <c r="N41" s="95">
        <f t="shared" si="19"/>
        <v>565.86051351920992</v>
      </c>
      <c r="O41" s="347">
        <f t="shared" si="19"/>
        <v>0</v>
      </c>
      <c r="P41" s="95">
        <f t="shared" si="19"/>
        <v>13.113724519985629</v>
      </c>
      <c r="Q41" s="95">
        <f t="shared" si="19"/>
        <v>1173.1143901978785</v>
      </c>
      <c r="R41" s="95">
        <f t="shared" si="19"/>
        <v>95.977000579952346</v>
      </c>
      <c r="S41" s="95">
        <f t="shared" si="19"/>
        <v>51.352556174314095</v>
      </c>
      <c r="T41" s="95">
        <f t="shared" si="19"/>
        <v>91.307568310879006</v>
      </c>
      <c r="U41" s="95">
        <f t="shared" si="19"/>
        <v>109.68033396625691</v>
      </c>
      <c r="V41" s="95">
        <f t="shared" si="19"/>
        <v>0</v>
      </c>
      <c r="W41" s="95">
        <f t="shared" si="19"/>
        <v>409.23972353583122</v>
      </c>
      <c r="X41" s="95">
        <f t="shared" si="19"/>
        <v>134.9378625064578</v>
      </c>
      <c r="Y41" s="95">
        <f t="shared" si="19"/>
        <v>128.78656734344773</v>
      </c>
      <c r="Z41" s="95">
        <f t="shared" si="19"/>
        <v>584.82498015860131</v>
      </c>
      <c r="AA41" s="95">
        <f t="shared" si="19"/>
        <v>786.29577465266618</v>
      </c>
      <c r="AB41" s="347">
        <f t="shared" si="19"/>
        <v>207.32125655676805</v>
      </c>
      <c r="AC41" s="95">
        <f t="shared" si="19"/>
        <v>9.3020520484497453</v>
      </c>
      <c r="AD41" s="95">
        <f t="shared" si="19"/>
        <v>1626.5910019149676</v>
      </c>
      <c r="AE41" s="95">
        <f t="shared" si="19"/>
        <v>96.874208827956323</v>
      </c>
      <c r="AF41" s="95">
        <f t="shared" si="19"/>
        <v>64.372713860172084</v>
      </c>
      <c r="AG41" s="95">
        <f t="shared" si="19"/>
        <v>103.95128910825652</v>
      </c>
      <c r="AH41" s="95">
        <f t="shared" si="19"/>
        <v>154.61709392848732</v>
      </c>
      <c r="AI41" s="95">
        <f t="shared" si="19"/>
        <v>0</v>
      </c>
      <c r="AJ41" s="95">
        <f t="shared" si="19"/>
        <v>102.9793384357652</v>
      </c>
      <c r="AK41" s="95">
        <f t="shared" si="19"/>
        <v>136.14515045274376</v>
      </c>
      <c r="AL41" s="95">
        <f t="shared" si="19"/>
        <v>101.19118619172011</v>
      </c>
      <c r="AM41" s="95">
        <f t="shared" si="19"/>
        <v>568.03654887126675</v>
      </c>
      <c r="AN41" s="95">
        <f t="shared" si="19"/>
        <v>765.93200720892412</v>
      </c>
      <c r="AO41" s="347">
        <f t="shared" si="19"/>
        <v>201.16014666509486</v>
      </c>
      <c r="AP41" s="95">
        <f t="shared" si="19"/>
        <v>17.895978677778739</v>
      </c>
      <c r="AQ41" s="95">
        <f t="shared" si="19"/>
        <v>1454.6243820089232</v>
      </c>
      <c r="AR41" s="95">
        <f t="shared" si="19"/>
        <v>80.198292864994144</v>
      </c>
      <c r="AS41" s="95">
        <f t="shared" si="19"/>
        <v>55.880605124199874</v>
      </c>
      <c r="AT41" s="95">
        <f t="shared" si="19"/>
        <v>79.013423521124849</v>
      </c>
      <c r="AU41" s="95">
        <f t="shared" si="19"/>
        <v>126.41823986994434</v>
      </c>
      <c r="AV41" s="95">
        <f t="shared" si="19"/>
        <v>0</v>
      </c>
      <c r="AW41" s="95">
        <f t="shared" si="19"/>
        <v>87.235587025457505</v>
      </c>
      <c r="AX41" s="95">
        <f t="shared" si="19"/>
        <v>121.58586832718242</v>
      </c>
      <c r="AY41" s="95">
        <f t="shared" si="19"/>
        <v>83.703180612033577</v>
      </c>
      <c r="AZ41" s="95">
        <f t="shared" si="19"/>
        <v>471.79737060095653</v>
      </c>
      <c r="BA41" s="95">
        <f t="shared" si="19"/>
        <v>758.73513980792006</v>
      </c>
      <c r="BB41" s="347">
        <f t="shared" si="19"/>
        <v>170.6823610177116</v>
      </c>
      <c r="BC41" s="95">
        <f t="shared" si="19"/>
        <v>14.748557456132659</v>
      </c>
      <c r="BD41" s="95">
        <f t="shared" si="19"/>
        <v>953.70154818714241</v>
      </c>
      <c r="BE41" s="95">
        <f t="shared" si="19"/>
        <v>76.593433118463054</v>
      </c>
      <c r="BF41" s="95">
        <f t="shared" si="19"/>
        <v>46.054378792626181</v>
      </c>
      <c r="BG41" s="95">
        <f t="shared" si="19"/>
        <v>71.84326327522173</v>
      </c>
      <c r="BH41" s="95">
        <f t="shared" si="19"/>
        <v>97.34742170770356</v>
      </c>
      <c r="BI41" s="95">
        <f t="shared" si="19"/>
        <v>0</v>
      </c>
      <c r="BJ41" s="95">
        <f t="shared" si="19"/>
        <v>93.019602562807862</v>
      </c>
      <c r="BK41" s="95">
        <f t="shared" si="19"/>
        <v>100.20621959880378</v>
      </c>
      <c r="BL41" s="95">
        <f t="shared" si="19"/>
        <v>75.87775840292916</v>
      </c>
      <c r="BM41" s="95">
        <f t="shared" si="19"/>
        <v>353.48861276737506</v>
      </c>
      <c r="BN41" s="95">
        <f t="shared" si="19"/>
        <v>687.15856187638792</v>
      </c>
      <c r="BO41" s="347">
        <f t="shared" si="19"/>
        <v>139.52994384284847</v>
      </c>
    </row>
    <row r="42" spans="1:67" x14ac:dyDescent="0.2">
      <c r="A42" s="2">
        <v>37</v>
      </c>
      <c r="B42" s="20" t="s">
        <v>52</v>
      </c>
      <c r="C42" s="95">
        <f t="shared" ref="C42" si="20">(C19*100000)/C7</f>
        <v>2.0639129434764056</v>
      </c>
      <c r="D42" s="95">
        <f t="shared" ref="D42:BO42" si="21">(D19*100000)/D7</f>
        <v>30.227868866517564</v>
      </c>
      <c r="E42" s="95">
        <f t="shared" si="21"/>
        <v>5.134767021491232</v>
      </c>
      <c r="F42" s="95">
        <f t="shared" si="21"/>
        <v>5.8349846335012652</v>
      </c>
      <c r="G42" s="95"/>
      <c r="H42" s="95">
        <f t="shared" si="21"/>
        <v>2.3374851551135145</v>
      </c>
      <c r="I42" s="95">
        <f t="shared" si="21"/>
        <v>0</v>
      </c>
      <c r="J42" s="95"/>
      <c r="K42" s="95">
        <f t="shared" si="21"/>
        <v>9.2324634385100737</v>
      </c>
      <c r="L42" s="95">
        <f t="shared" si="21"/>
        <v>10.200966631125075</v>
      </c>
      <c r="M42" s="95">
        <f t="shared" si="21"/>
        <v>41.474434087041047</v>
      </c>
      <c r="N42" s="95">
        <f t="shared" si="21"/>
        <v>46.910327814082173</v>
      </c>
      <c r="O42" s="347">
        <f t="shared" si="21"/>
        <v>0</v>
      </c>
      <c r="P42" s="95">
        <f t="shared" si="21"/>
        <v>2.164789988754912</v>
      </c>
      <c r="Q42" s="95">
        <f t="shared" si="21"/>
        <v>41.024216594498867</v>
      </c>
      <c r="R42" s="95">
        <f t="shared" si="21"/>
        <v>8.8260478299982275</v>
      </c>
      <c r="S42" s="95">
        <f t="shared" si="21"/>
        <v>6.2920390775995996</v>
      </c>
      <c r="T42" s="95">
        <f t="shared" si="21"/>
        <v>9.3016444041823423</v>
      </c>
      <c r="U42" s="95">
        <f t="shared" si="21"/>
        <v>7.7787470898054547</v>
      </c>
      <c r="V42" s="95">
        <f t="shared" si="21"/>
        <v>0</v>
      </c>
      <c r="W42" s="95">
        <f t="shared" si="21"/>
        <v>17.169022324092815</v>
      </c>
      <c r="X42" s="95">
        <f t="shared" si="21"/>
        <v>11.967130374338323</v>
      </c>
      <c r="Y42" s="95">
        <f t="shared" si="21"/>
        <v>13.724455492072662</v>
      </c>
      <c r="Z42" s="95">
        <f t="shared" si="21"/>
        <v>60.722534586107649</v>
      </c>
      <c r="AA42" s="95">
        <f t="shared" si="21"/>
        <v>61.655792186404078</v>
      </c>
      <c r="AB42" s="347">
        <f t="shared" si="21"/>
        <v>15.288924845635187</v>
      </c>
      <c r="AC42" s="95">
        <f t="shared" si="21"/>
        <v>1.4851204511163532</v>
      </c>
      <c r="AD42" s="95">
        <f t="shared" si="21"/>
        <v>49.955278872018141</v>
      </c>
      <c r="AE42" s="95">
        <f t="shared" si="21"/>
        <v>8.9664819839690644</v>
      </c>
      <c r="AF42" s="95">
        <f t="shared" si="21"/>
        <v>7.86649891569194</v>
      </c>
      <c r="AG42" s="95">
        <f t="shared" si="21"/>
        <v>10.65156831234051</v>
      </c>
      <c r="AH42" s="95">
        <f t="shared" si="21"/>
        <v>11.254430788995743</v>
      </c>
      <c r="AI42" s="95">
        <f t="shared" si="21"/>
        <v>0</v>
      </c>
      <c r="AJ42" s="95">
        <f t="shared" si="21"/>
        <v>12.840250406262861</v>
      </c>
      <c r="AK42" s="95">
        <f t="shared" si="21"/>
        <v>12.166786785834532</v>
      </c>
      <c r="AL42" s="95">
        <f t="shared" si="21"/>
        <v>10.790326513277984</v>
      </c>
      <c r="AM42" s="95">
        <f t="shared" si="21"/>
        <v>59.307651546878667</v>
      </c>
      <c r="AN42" s="95">
        <f t="shared" si="21"/>
        <v>61.603676721732107</v>
      </c>
      <c r="AO42" s="347">
        <f t="shared" si="21"/>
        <v>16.195340489389036</v>
      </c>
      <c r="AP42" s="95">
        <f t="shared" si="21"/>
        <v>3.8360644866385374</v>
      </c>
      <c r="AQ42" s="95">
        <f t="shared" si="21"/>
        <v>45.950811391864065</v>
      </c>
      <c r="AR42" s="95">
        <f t="shared" si="21"/>
        <v>7.4405855561255265</v>
      </c>
      <c r="AS42" s="95">
        <f t="shared" si="21"/>
        <v>6.1444534419050587</v>
      </c>
      <c r="AT42" s="95">
        <f t="shared" si="21"/>
        <v>7.9929830066941232</v>
      </c>
      <c r="AU42" s="95">
        <f t="shared" si="21"/>
        <v>10.17448769478654</v>
      </c>
      <c r="AV42" s="95">
        <f t="shared" si="21"/>
        <v>0</v>
      </c>
      <c r="AW42" s="95">
        <f t="shared" si="21"/>
        <v>11.929706290335066</v>
      </c>
      <c r="AX42" s="95">
        <f t="shared" si="21"/>
        <v>14.700973896502758</v>
      </c>
      <c r="AY42" s="95">
        <f t="shared" si="21"/>
        <v>8.887305445143669</v>
      </c>
      <c r="AZ42" s="95">
        <f t="shared" si="21"/>
        <v>50.001045464800484</v>
      </c>
      <c r="BA42" s="95">
        <f t="shared" si="21"/>
        <v>63.168257667100761</v>
      </c>
      <c r="BB42" s="347">
        <f t="shared" si="21"/>
        <v>16.722591368623803</v>
      </c>
      <c r="BC42" s="95">
        <f t="shared" si="21"/>
        <v>3.2418060904931845</v>
      </c>
      <c r="BD42" s="95">
        <f t="shared" si="21"/>
        <v>42.231609833293987</v>
      </c>
      <c r="BE42" s="95">
        <f t="shared" si="21"/>
        <v>7.1602631128478489</v>
      </c>
      <c r="BF42" s="95">
        <f t="shared" si="21"/>
        <v>5.8422175231845603</v>
      </c>
      <c r="BG42" s="95">
        <f t="shared" si="21"/>
        <v>7.2548923569612462</v>
      </c>
      <c r="BH42" s="95">
        <f t="shared" si="21"/>
        <v>8.5024497887229984</v>
      </c>
      <c r="BI42" s="95">
        <f t="shared" si="21"/>
        <v>0</v>
      </c>
      <c r="BJ42" s="95">
        <f t="shared" si="21"/>
        <v>12.433746578874876</v>
      </c>
      <c r="BK42" s="95">
        <f t="shared" si="21"/>
        <v>8.997842059434781</v>
      </c>
      <c r="BL42" s="95">
        <f t="shared" si="21"/>
        <v>8.3545443138163034</v>
      </c>
      <c r="BM42" s="95">
        <f t="shared" si="21"/>
        <v>38.078455644278343</v>
      </c>
      <c r="BN42" s="95">
        <f t="shared" si="21"/>
        <v>57.52126921903163</v>
      </c>
      <c r="BO42" s="347">
        <f t="shared" si="21"/>
        <v>14.795595886524021</v>
      </c>
    </row>
    <row r="43" spans="1:67" x14ac:dyDescent="0.2">
      <c r="A43" s="26">
        <v>38</v>
      </c>
      <c r="B43" s="27" t="s">
        <v>64</v>
      </c>
      <c r="C43" s="346">
        <f t="shared" ref="C43" si="22">C13/C27</f>
        <v>2937.9098798907039</v>
      </c>
      <c r="D43" s="346">
        <f t="shared" ref="D43:BO43" si="23">D13/D27</f>
        <v>3031.7010479140577</v>
      </c>
      <c r="E43" s="346">
        <f t="shared" si="23"/>
        <v>1833.8239208581965</v>
      </c>
      <c r="F43" s="346">
        <f t="shared" si="23"/>
        <v>1543.0895401989783</v>
      </c>
      <c r="G43" s="346">
        <f t="shared" ref="G43" si="24">G13/G27</f>
        <v>0</v>
      </c>
      <c r="H43" s="346">
        <f t="shared" si="23"/>
        <v>1707.0301149928659</v>
      </c>
      <c r="I43" s="346">
        <f t="shared" si="23"/>
        <v>2163.1130927102472</v>
      </c>
      <c r="J43" s="346">
        <f t="shared" ref="J43" si="25">J13/J27</f>
        <v>0</v>
      </c>
      <c r="K43" s="346">
        <f t="shared" si="23"/>
        <v>1724.4151920213319</v>
      </c>
      <c r="L43" s="346">
        <f t="shared" si="23"/>
        <v>1701.5770400073384</v>
      </c>
      <c r="M43" s="346">
        <f t="shared" si="23"/>
        <v>1888.4862762695386</v>
      </c>
      <c r="N43" s="346">
        <f t="shared" si="23"/>
        <v>3105.6310167019333</v>
      </c>
      <c r="O43" s="351">
        <f t="shared" si="23"/>
        <v>2355.9150377376018</v>
      </c>
      <c r="P43" s="346">
        <f t="shared" si="23"/>
        <v>4561.8532514124581</v>
      </c>
      <c r="Q43" s="346">
        <f t="shared" si="23"/>
        <v>5571.5495018019928</v>
      </c>
      <c r="R43" s="346">
        <f t="shared" si="23"/>
        <v>1980.6153091392644</v>
      </c>
      <c r="S43" s="346">
        <f t="shared" si="23"/>
        <v>1703.8073515513597</v>
      </c>
      <c r="T43" s="346">
        <f t="shared" si="23"/>
        <v>1791.5536748085342</v>
      </c>
      <c r="U43" s="346">
        <f t="shared" si="23"/>
        <v>1887.5488483845445</v>
      </c>
      <c r="V43" s="346">
        <f t="shared" si="23"/>
        <v>2925.4867636884965</v>
      </c>
      <c r="W43" s="346">
        <f t="shared" si="23"/>
        <v>4234.5541772513825</v>
      </c>
      <c r="X43" s="346">
        <f t="shared" si="23"/>
        <v>1816.3865313141398</v>
      </c>
      <c r="Y43" s="346">
        <f t="shared" si="23"/>
        <v>1941.201340359534</v>
      </c>
      <c r="Z43" s="346">
        <f t="shared" si="23"/>
        <v>2782.2333149850324</v>
      </c>
      <c r="AA43" s="346">
        <f t="shared" si="23"/>
        <v>3411.3196260907412</v>
      </c>
      <c r="AB43" s="351">
        <f t="shared" si="23"/>
        <v>3193.0515398601019</v>
      </c>
      <c r="AC43" s="346">
        <f t="shared" si="23"/>
        <v>4525.3888323865749</v>
      </c>
      <c r="AD43" s="346">
        <f t="shared" si="23"/>
        <v>5795.2498928820096</v>
      </c>
      <c r="AE43" s="346">
        <f t="shared" si="23"/>
        <v>2031.6877619446773</v>
      </c>
      <c r="AF43" s="346">
        <f t="shared" si="23"/>
        <v>1524.8740314250599</v>
      </c>
      <c r="AG43" s="346">
        <f t="shared" si="23"/>
        <v>1744.7610801124486</v>
      </c>
      <c r="AH43" s="346">
        <f t="shared" si="23"/>
        <v>1919.2241784673392</v>
      </c>
      <c r="AI43" s="346">
        <f t="shared" si="23"/>
        <v>3338.2584549720809</v>
      </c>
      <c r="AJ43" s="346">
        <f t="shared" si="23"/>
        <v>3969.2997365459182</v>
      </c>
      <c r="AK43" s="346">
        <f t="shared" si="23"/>
        <v>1829.5586724514142</v>
      </c>
      <c r="AL43" s="346">
        <f t="shared" si="23"/>
        <v>1954.2676181749302</v>
      </c>
      <c r="AM43" s="346">
        <f t="shared" si="23"/>
        <v>2267.4321393064802</v>
      </c>
      <c r="AN43" s="346">
        <f t="shared" si="23"/>
        <v>3424.7132330608083</v>
      </c>
      <c r="AO43" s="351">
        <f t="shared" si="23"/>
        <v>3095.9830912648813</v>
      </c>
      <c r="AP43" s="346">
        <f t="shared" si="23"/>
        <v>4156.4107006222303</v>
      </c>
      <c r="AQ43" s="346">
        <f t="shared" si="23"/>
        <v>7330.3742260114122</v>
      </c>
      <c r="AR43" s="346">
        <f t="shared" si="23"/>
        <v>2117.9277649397764</v>
      </c>
      <c r="AS43" s="346">
        <f t="shared" si="23"/>
        <v>1720.7321314896606</v>
      </c>
      <c r="AT43" s="346">
        <f t="shared" si="23"/>
        <v>1723.7943469418499</v>
      </c>
      <c r="AU43" s="346">
        <f t="shared" si="23"/>
        <v>1967.0798815613541</v>
      </c>
      <c r="AV43" s="346">
        <f t="shared" si="23"/>
        <v>3311.5211291959399</v>
      </c>
      <c r="AW43" s="346">
        <f t="shared" si="23"/>
        <v>3641.4981646426277</v>
      </c>
      <c r="AX43" s="346">
        <f t="shared" si="23"/>
        <v>1889.8342441224049</v>
      </c>
      <c r="AY43" s="346">
        <f t="shared" si="23"/>
        <v>1967.1673523305071</v>
      </c>
      <c r="AZ43" s="346">
        <f t="shared" si="23"/>
        <v>2512.9359634076613</v>
      </c>
      <c r="BA43" s="346">
        <f t="shared" si="23"/>
        <v>3518.5888463299889</v>
      </c>
      <c r="BB43" s="351">
        <f t="shared" si="23"/>
        <v>3134.9637657365629</v>
      </c>
      <c r="BC43" s="346">
        <f t="shared" si="23"/>
        <v>4418.9060520883613</v>
      </c>
      <c r="BD43" s="346">
        <f t="shared" si="23"/>
        <v>7223.9502239853191</v>
      </c>
      <c r="BE43" s="346">
        <f t="shared" si="23"/>
        <v>2199.2138436878886</v>
      </c>
      <c r="BF43" s="346">
        <f t="shared" si="23"/>
        <v>1946.5585892140341</v>
      </c>
      <c r="BG43" s="346">
        <f t="shared" si="23"/>
        <v>1763.0889184597565</v>
      </c>
      <c r="BH43" s="346">
        <f t="shared" si="23"/>
        <v>2367.6218762903336</v>
      </c>
      <c r="BI43" s="346">
        <f t="shared" si="23"/>
        <v>3520.6138295927694</v>
      </c>
      <c r="BJ43" s="346">
        <f t="shared" si="23"/>
        <v>3788.1732097399431</v>
      </c>
      <c r="BK43" s="346">
        <f t="shared" si="23"/>
        <v>2296.0164691621208</v>
      </c>
      <c r="BL43" s="346">
        <f t="shared" si="23"/>
        <v>2104.4314556827853</v>
      </c>
      <c r="BM43" s="346">
        <f t="shared" si="23"/>
        <v>2341.990507629534</v>
      </c>
      <c r="BN43" s="346">
        <f t="shared" si="23"/>
        <v>4023.6633289641786</v>
      </c>
      <c r="BO43" s="351">
        <f t="shared" si="23"/>
        <v>3901.1856284878913</v>
      </c>
    </row>
    <row r="44" spans="1:67" x14ac:dyDescent="0.2">
      <c r="A44" s="26">
        <v>39</v>
      </c>
      <c r="B44" s="27" t="s">
        <v>65</v>
      </c>
      <c r="C44" s="346">
        <f t="shared" ref="C44" si="26">C32/C27</f>
        <v>3370.3115722786965</v>
      </c>
      <c r="D44" s="346">
        <f t="shared" ref="D44:BO44" si="27">D32/D27</f>
        <v>3044.8904765043167</v>
      </c>
      <c r="E44" s="346">
        <f t="shared" si="27"/>
        <v>2040.0515827585405</v>
      </c>
      <c r="F44" s="346">
        <f t="shared" si="27"/>
        <v>1543.0895401989783</v>
      </c>
      <c r="G44" s="346">
        <f t="shared" ref="G44" si="28">G32/G27</f>
        <v>0</v>
      </c>
      <c r="H44" s="346">
        <f t="shared" si="27"/>
        <v>1973.0621547741816</v>
      </c>
      <c r="I44" s="346">
        <f t="shared" si="27"/>
        <v>2172.3576801624708</v>
      </c>
      <c r="J44" s="346">
        <f t="shared" ref="J44" si="29">J32/J27</f>
        <v>0</v>
      </c>
      <c r="K44" s="346">
        <f t="shared" si="27"/>
        <v>1839.379134299294</v>
      </c>
      <c r="L44" s="346">
        <f t="shared" si="27"/>
        <v>2144.3408650129077</v>
      </c>
      <c r="M44" s="346">
        <f t="shared" si="27"/>
        <v>1933.1388393538252</v>
      </c>
      <c r="N44" s="346">
        <f t="shared" si="27"/>
        <v>2935.9657333032028</v>
      </c>
      <c r="O44" s="351">
        <f t="shared" si="27"/>
        <v>2693.0940188502677</v>
      </c>
      <c r="P44" s="346">
        <f t="shared" si="27"/>
        <v>4910.6295527055509</v>
      </c>
      <c r="Q44" s="346">
        <f t="shared" si="27"/>
        <v>5571.5495018019928</v>
      </c>
      <c r="R44" s="346">
        <f t="shared" si="27"/>
        <v>2073.4084717972551</v>
      </c>
      <c r="S44" s="346">
        <f t="shared" si="27"/>
        <v>1703.8073515513597</v>
      </c>
      <c r="T44" s="346">
        <f t="shared" si="27"/>
        <v>1715.8061100566845</v>
      </c>
      <c r="U44" s="346">
        <f t="shared" si="27"/>
        <v>2266.5880425077853</v>
      </c>
      <c r="V44" s="346">
        <f t="shared" si="27"/>
        <v>2926.8560113525541</v>
      </c>
      <c r="W44" s="346">
        <f t="shared" si="27"/>
        <v>3717.8477780343769</v>
      </c>
      <c r="X44" s="346">
        <f t="shared" si="27"/>
        <v>2801.2170965925961</v>
      </c>
      <c r="Y44" s="346">
        <f t="shared" si="27"/>
        <v>2377.1380850239721</v>
      </c>
      <c r="Z44" s="346">
        <f t="shared" si="27"/>
        <v>2300.8135221951607</v>
      </c>
      <c r="AA44" s="346">
        <f t="shared" si="27"/>
        <v>3349.8014259953989</v>
      </c>
      <c r="AB44" s="351">
        <f t="shared" si="27"/>
        <v>3520.2520117408922</v>
      </c>
      <c r="AC44" s="346">
        <f t="shared" si="27"/>
        <v>4871.3772480341331</v>
      </c>
      <c r="AD44" s="346">
        <f t="shared" si="27"/>
        <v>5795.2498928820096</v>
      </c>
      <c r="AE44" s="346">
        <f t="shared" si="27"/>
        <v>2162.1659500377718</v>
      </c>
      <c r="AF44" s="346">
        <f t="shared" si="27"/>
        <v>1542.7630598189232</v>
      </c>
      <c r="AG44" s="346">
        <f t="shared" si="27"/>
        <v>1727.141979466759</v>
      </c>
      <c r="AH44" s="346">
        <f t="shared" si="27"/>
        <v>2263.2814681589507</v>
      </c>
      <c r="AI44" s="346">
        <f t="shared" si="27"/>
        <v>3308.3461488257417</v>
      </c>
      <c r="AJ44" s="346">
        <f t="shared" si="27"/>
        <v>3605.5836893276833</v>
      </c>
      <c r="AK44" s="346">
        <f t="shared" si="27"/>
        <v>2651.1631444163322</v>
      </c>
      <c r="AL44" s="346">
        <f t="shared" si="27"/>
        <v>2415.9241264979296</v>
      </c>
      <c r="AM44" s="346">
        <f t="shared" si="27"/>
        <v>2154.8695319796343</v>
      </c>
      <c r="AN44" s="346">
        <f t="shared" si="27"/>
        <v>3443.0231042875866</v>
      </c>
      <c r="AO44" s="351">
        <f t="shared" si="27"/>
        <v>3420.2289893805228</v>
      </c>
      <c r="AP44" s="346">
        <f t="shared" si="27"/>
        <v>4771.1724197669882</v>
      </c>
      <c r="AQ44" s="346">
        <f t="shared" si="27"/>
        <v>7330.3742260114122</v>
      </c>
      <c r="AR44" s="346">
        <f t="shared" si="27"/>
        <v>2158.6381688849874</v>
      </c>
      <c r="AS44" s="346">
        <f t="shared" si="27"/>
        <v>1733.2012049062523</v>
      </c>
      <c r="AT44" s="346">
        <f t="shared" si="27"/>
        <v>1743.6504987349622</v>
      </c>
      <c r="AU44" s="346">
        <f t="shared" si="27"/>
        <v>2347.0184397213966</v>
      </c>
      <c r="AV44" s="346">
        <f t="shared" si="27"/>
        <v>3343.956498290438</v>
      </c>
      <c r="AW44" s="346">
        <f t="shared" si="27"/>
        <v>3412.3437482457289</v>
      </c>
      <c r="AX44" s="346">
        <f t="shared" si="27"/>
        <v>2621.6124518931929</v>
      </c>
      <c r="AY44" s="346">
        <f t="shared" si="27"/>
        <v>2457.5446945688996</v>
      </c>
      <c r="AZ44" s="346">
        <f t="shared" si="27"/>
        <v>2338.9180396316692</v>
      </c>
      <c r="BA44" s="346">
        <f t="shared" si="27"/>
        <v>3647.7939880927597</v>
      </c>
      <c r="BB44" s="351">
        <f t="shared" si="27"/>
        <v>3469.9915390395877</v>
      </c>
      <c r="BC44" s="346">
        <f t="shared" si="27"/>
        <v>5160.0592009994607</v>
      </c>
      <c r="BD44" s="346">
        <f t="shared" si="27"/>
        <v>7055.2865797711574</v>
      </c>
      <c r="BE44" s="346">
        <f t="shared" si="27"/>
        <v>2295.1606744886835</v>
      </c>
      <c r="BF44" s="346">
        <f t="shared" si="27"/>
        <v>1979.8745637386351</v>
      </c>
      <c r="BG44" s="346">
        <f t="shared" si="27"/>
        <v>1900.9990101398039</v>
      </c>
      <c r="BH44" s="346">
        <f t="shared" si="27"/>
        <v>2568.465374068754</v>
      </c>
      <c r="BI44" s="346">
        <f t="shared" si="27"/>
        <v>3497.7855428049152</v>
      </c>
      <c r="BJ44" s="346">
        <f t="shared" si="27"/>
        <v>3834.196233393428</v>
      </c>
      <c r="BK44" s="346">
        <f t="shared" si="27"/>
        <v>2874.0453574488924</v>
      </c>
      <c r="BL44" s="346">
        <f t="shared" si="27"/>
        <v>2656.4355626148945</v>
      </c>
      <c r="BM44" s="346">
        <f t="shared" si="27"/>
        <v>2469.0300411752651</v>
      </c>
      <c r="BN44" s="346">
        <f t="shared" si="27"/>
        <v>4322.1970350583197</v>
      </c>
      <c r="BO44" s="351">
        <f t="shared" si="27"/>
        <v>3957.8982339292606</v>
      </c>
    </row>
    <row r="45" spans="1:67" x14ac:dyDescent="0.2">
      <c r="A45" s="26">
        <v>39</v>
      </c>
      <c r="B45" s="28" t="s">
        <v>61</v>
      </c>
      <c r="C45" s="346">
        <f>C17/C27</f>
        <v>6862.5211436331301</v>
      </c>
      <c r="D45" s="346">
        <f t="shared" ref="D45:BO45" si="30">D17/D27</f>
        <v>3044.8904765043167</v>
      </c>
      <c r="E45" s="346">
        <f t="shared" si="30"/>
        <v>2719.4657721520298</v>
      </c>
      <c r="F45" s="346">
        <f t="shared" si="30"/>
        <v>2058.0129066953482</v>
      </c>
      <c r="G45" s="346">
        <f t="shared" ref="G45" si="31">G17/G27</f>
        <v>0</v>
      </c>
      <c r="H45" s="346">
        <f t="shared" si="30"/>
        <v>2649.5375457357991</v>
      </c>
      <c r="I45" s="346">
        <f t="shared" si="30"/>
        <v>3128.061099034172</v>
      </c>
      <c r="J45" s="346">
        <f t="shared" ref="J45" si="32">J17/J27</f>
        <v>0</v>
      </c>
      <c r="K45" s="346">
        <f t="shared" si="30"/>
        <v>3065.0733174325587</v>
      </c>
      <c r="L45" s="346">
        <f t="shared" si="30"/>
        <v>2788.682480245312</v>
      </c>
      <c r="M45" s="346">
        <f t="shared" si="30"/>
        <v>2988.392722758208</v>
      </c>
      <c r="N45" s="346">
        <f t="shared" si="30"/>
        <v>3918.4376646054607</v>
      </c>
      <c r="O45" s="351">
        <f t="shared" si="30"/>
        <v>4506.9180161708737</v>
      </c>
      <c r="P45" s="346">
        <f t="shared" si="30"/>
        <v>7071.2887975606136</v>
      </c>
      <c r="Q45" s="346">
        <f t="shared" si="30"/>
        <v>5571.5495018019928</v>
      </c>
      <c r="R45" s="346">
        <f t="shared" si="30"/>
        <v>2575.3643957292434</v>
      </c>
      <c r="S45" s="346">
        <f t="shared" si="30"/>
        <v>2086.1788563585542</v>
      </c>
      <c r="T45" s="346">
        <f t="shared" si="30"/>
        <v>2086.8143125934544</v>
      </c>
      <c r="U45" s="346">
        <f t="shared" si="30"/>
        <v>2607.0830919768009</v>
      </c>
      <c r="V45" s="346">
        <f t="shared" si="30"/>
        <v>3696.5821288956681</v>
      </c>
      <c r="W45" s="346">
        <f t="shared" si="30"/>
        <v>4843.4455179716306</v>
      </c>
      <c r="X45" s="346">
        <f t="shared" si="30"/>
        <v>3562.3877090347387</v>
      </c>
      <c r="Y45" s="346">
        <f t="shared" si="30"/>
        <v>2881.8621428176193</v>
      </c>
      <c r="Z45" s="346">
        <f t="shared" si="30"/>
        <v>3004.0816851280738</v>
      </c>
      <c r="AA45" s="346">
        <f t="shared" si="30"/>
        <v>4033.6129831906646</v>
      </c>
      <c r="AB45" s="351">
        <f t="shared" si="30"/>
        <v>4829.2386000785255</v>
      </c>
      <c r="AC45" s="346">
        <f t="shared" si="30"/>
        <v>7014.7656207820864</v>
      </c>
      <c r="AD45" s="346">
        <f t="shared" si="30"/>
        <v>5795.2498928820096</v>
      </c>
      <c r="AE45" s="346">
        <f t="shared" si="30"/>
        <v>2740.139571885381</v>
      </c>
      <c r="AF45" s="346">
        <f t="shared" si="30"/>
        <v>2003.902458416291</v>
      </c>
      <c r="AG45" s="346">
        <f t="shared" si="30"/>
        <v>2160.3061043300654</v>
      </c>
      <c r="AH45" s="346">
        <f t="shared" si="30"/>
        <v>2647.016002686978</v>
      </c>
      <c r="AI45" s="346">
        <f t="shared" si="30"/>
        <v>4110.4020491251331</v>
      </c>
      <c r="AJ45" s="346">
        <f t="shared" si="30"/>
        <v>4845.0424907759761</v>
      </c>
      <c r="AK45" s="346">
        <f t="shared" si="30"/>
        <v>3409.160017320281</v>
      </c>
      <c r="AL45" s="346">
        <f t="shared" si="30"/>
        <v>2953.2481843525675</v>
      </c>
      <c r="AM45" s="346">
        <f t="shared" si="30"/>
        <v>2940.1434037297022</v>
      </c>
      <c r="AN45" s="346">
        <f t="shared" si="30"/>
        <v>4180.0366598015353</v>
      </c>
      <c r="AO45" s="351">
        <f t="shared" si="30"/>
        <v>4727.2195078778122</v>
      </c>
      <c r="AP45" s="346">
        <f t="shared" si="30"/>
        <v>8062.5593717065849</v>
      </c>
      <c r="AQ45" s="346">
        <f t="shared" si="30"/>
        <v>7330.3742260114122</v>
      </c>
      <c r="AR45" s="346">
        <f t="shared" si="30"/>
        <v>2865.5164766785865</v>
      </c>
      <c r="AS45" s="346">
        <f t="shared" si="30"/>
        <v>2323.1852576176193</v>
      </c>
      <c r="AT45" s="346">
        <f t="shared" si="30"/>
        <v>2264.1709553927872</v>
      </c>
      <c r="AU45" s="346">
        <f t="shared" si="30"/>
        <v>2932.2465344866523</v>
      </c>
      <c r="AV45" s="346">
        <f t="shared" si="30"/>
        <v>4318.1852358083725</v>
      </c>
      <c r="AW45" s="346">
        <f t="shared" si="30"/>
        <v>4970.2125973815364</v>
      </c>
      <c r="AX45" s="346">
        <f t="shared" si="30"/>
        <v>3759.4465706735059</v>
      </c>
      <c r="AY45" s="346">
        <f t="shared" si="30"/>
        <v>3074.4469842575868</v>
      </c>
      <c r="AZ45" s="346">
        <f t="shared" si="30"/>
        <v>3208.440740573561</v>
      </c>
      <c r="BA45" s="346">
        <f t="shared" si="30"/>
        <v>4553.1322078354633</v>
      </c>
      <c r="BB45" s="351">
        <f t="shared" si="30"/>
        <v>5117.2855064753139</v>
      </c>
      <c r="BC45" s="346">
        <f t="shared" si="30"/>
        <v>8685.5092421704194</v>
      </c>
      <c r="BD45" s="346">
        <f t="shared" si="30"/>
        <v>7223.9502239853191</v>
      </c>
      <c r="BE45" s="346">
        <f t="shared" si="30"/>
        <v>3069.4105866512791</v>
      </c>
      <c r="BF45" s="346">
        <f t="shared" si="30"/>
        <v>2613.201535769389</v>
      </c>
      <c r="BG45" s="346">
        <f t="shared" si="30"/>
        <v>2470.9937791036209</v>
      </c>
      <c r="BH45" s="346">
        <f t="shared" si="30"/>
        <v>3219.7532794319532</v>
      </c>
      <c r="BI45" s="346">
        <f t="shared" si="30"/>
        <v>4677.5318269523714</v>
      </c>
      <c r="BJ45" s="346">
        <f t="shared" si="30"/>
        <v>5511.919346027963</v>
      </c>
      <c r="BK45" s="346">
        <f t="shared" si="30"/>
        <v>4194.1702029385333</v>
      </c>
      <c r="BL45" s="346">
        <f t="shared" si="30"/>
        <v>3341.2426696957136</v>
      </c>
      <c r="BM45" s="346">
        <f t="shared" si="30"/>
        <v>3457.6094162800664</v>
      </c>
      <c r="BN45" s="346">
        <f t="shared" si="30"/>
        <v>5315.6742131373294</v>
      </c>
      <c r="BO45" s="351">
        <f t="shared" si="30"/>
        <v>5936.1327592945918</v>
      </c>
    </row>
    <row r="46" spans="1:67" x14ac:dyDescent="0.2">
      <c r="A46" s="26">
        <v>40</v>
      </c>
      <c r="B46" s="28" t="s">
        <v>62</v>
      </c>
      <c r="C46" s="346">
        <f>C7/C27</f>
        <v>1768.4929447704676</v>
      </c>
      <c r="D46" s="346">
        <f t="shared" ref="D46:BO46" si="33">D7/D27</f>
        <v>650.17258287747973</v>
      </c>
      <c r="E46" s="346">
        <f t="shared" si="33"/>
        <v>469.52462714917391</v>
      </c>
      <c r="F46" s="346">
        <f t="shared" si="33"/>
        <v>231.79394662543694</v>
      </c>
      <c r="G46" s="346">
        <f t="shared" ref="G46" si="34">G7/G27</f>
        <v>392.37634355648964</v>
      </c>
      <c r="H46" s="346">
        <f t="shared" si="33"/>
        <v>510.98863788548744</v>
      </c>
      <c r="I46" s="346">
        <f t="shared" si="33"/>
        <v>355.49037115214003</v>
      </c>
      <c r="J46" s="346">
        <f t="shared" ref="J46" si="35">J7/J27</f>
        <v>0</v>
      </c>
      <c r="K46" s="346">
        <f t="shared" si="33"/>
        <v>1044.6835785223066</v>
      </c>
      <c r="L46" s="346">
        <f t="shared" si="33"/>
        <v>581.20097037124401</v>
      </c>
      <c r="M46" s="346">
        <f t="shared" si="33"/>
        <v>234.80353398861158</v>
      </c>
      <c r="N46" s="346">
        <f t="shared" si="33"/>
        <v>421.38794502537132</v>
      </c>
      <c r="O46" s="351">
        <f t="shared" si="33"/>
        <v>1085.4716390952262</v>
      </c>
      <c r="P46" s="346">
        <f t="shared" si="33"/>
        <v>966.01713546861185</v>
      </c>
      <c r="Q46" s="346">
        <f t="shared" si="33"/>
        <v>475.87677549289805</v>
      </c>
      <c r="R46" s="346">
        <f t="shared" si="33"/>
        <v>211.42731838310289</v>
      </c>
      <c r="S46" s="346">
        <f t="shared" si="33"/>
        <v>191.91858993411188</v>
      </c>
      <c r="T46" s="346">
        <f t="shared" si="33"/>
        <v>278.10301195051926</v>
      </c>
      <c r="U46" s="346">
        <f t="shared" si="33"/>
        <v>451.97775527536419</v>
      </c>
      <c r="V46" s="346">
        <f t="shared" si="33"/>
        <v>338.97622381702547</v>
      </c>
      <c r="W46" s="346">
        <f t="shared" si="33"/>
        <v>658.8209058160561</v>
      </c>
      <c r="X46" s="346">
        <f t="shared" si="33"/>
        <v>722.33678744213228</v>
      </c>
      <c r="Y46" s="346">
        <f t="shared" si="33"/>
        <v>441.19523420488167</v>
      </c>
      <c r="Z46" s="346">
        <f t="shared" si="33"/>
        <v>162.09855952452691</v>
      </c>
      <c r="AA46" s="346">
        <f t="shared" si="33"/>
        <v>311.61388272845983</v>
      </c>
      <c r="AB46" s="351">
        <f t="shared" si="33"/>
        <v>878.73405465952487</v>
      </c>
      <c r="AC46" s="346">
        <f t="shared" si="33"/>
        <v>1019.866457615734</v>
      </c>
      <c r="AD46" s="346">
        <f t="shared" si="33"/>
        <v>404.57159498687804</v>
      </c>
      <c r="AE46" s="346">
        <f t="shared" si="33"/>
        <v>235.2681692589488</v>
      </c>
      <c r="AF46" s="346">
        <f t="shared" si="33"/>
        <v>182.76845302970574</v>
      </c>
      <c r="AG46" s="346">
        <f t="shared" si="33"/>
        <v>265.79404193589676</v>
      </c>
      <c r="AH46" s="346">
        <f t="shared" si="33"/>
        <v>452.75562947152491</v>
      </c>
      <c r="AI46" s="346">
        <f t="shared" si="33"/>
        <v>328.02539962083932</v>
      </c>
      <c r="AJ46" s="346">
        <f t="shared" si="33"/>
        <v>764.38976489501749</v>
      </c>
      <c r="AK46" s="346">
        <f t="shared" si="33"/>
        <v>821.13510373697773</v>
      </c>
      <c r="AL46" s="346">
        <f t="shared" si="33"/>
        <v>450.99073315568103</v>
      </c>
      <c r="AM46" s="346">
        <f t="shared" si="33"/>
        <v>154.93663052007884</v>
      </c>
      <c r="AN46" s="346">
        <f t="shared" si="33"/>
        <v>319.64451101541533</v>
      </c>
      <c r="AO46" s="351">
        <f t="shared" si="33"/>
        <v>915.3313331422703</v>
      </c>
      <c r="AP46" s="346">
        <f t="shared" si="33"/>
        <v>1026.4628177920222</v>
      </c>
      <c r="AQ46" s="346">
        <f t="shared" si="33"/>
        <v>442.68133928691873</v>
      </c>
      <c r="AR46" s="346">
        <f t="shared" si="33"/>
        <v>271.74214895237606</v>
      </c>
      <c r="AS46" s="346">
        <f t="shared" si="33"/>
        <v>219.70078817669332</v>
      </c>
      <c r="AT46" s="346">
        <f t="shared" si="33"/>
        <v>337.31143722695089</v>
      </c>
      <c r="AU46" s="346">
        <f t="shared" si="33"/>
        <v>499.84046629839798</v>
      </c>
      <c r="AV46" s="346">
        <f t="shared" si="33"/>
        <v>397.9608354930146</v>
      </c>
      <c r="AW46" s="346">
        <f t="shared" si="33"/>
        <v>895.37506939116656</v>
      </c>
      <c r="AX46" s="346">
        <f t="shared" si="33"/>
        <v>747.29697500748898</v>
      </c>
      <c r="AY46" s="346">
        <f t="shared" si="33"/>
        <v>556.18615741127621</v>
      </c>
      <c r="AZ46" s="346">
        <f t="shared" si="33"/>
        <v>184.24281001361908</v>
      </c>
      <c r="BA46" s="346">
        <f t="shared" si="33"/>
        <v>341.53499313043841</v>
      </c>
      <c r="BB46" s="351">
        <f t="shared" si="33"/>
        <v>928.92046871550713</v>
      </c>
      <c r="BC46" s="346">
        <f t="shared" si="33"/>
        <v>1108.5791998238842</v>
      </c>
      <c r="BD46" s="346">
        <f t="shared" si="33"/>
        <v>480.37153227547498</v>
      </c>
      <c r="BE46" s="346">
        <f t="shared" si="33"/>
        <v>294.02224786817976</v>
      </c>
      <c r="BF46" s="346">
        <f t="shared" si="33"/>
        <v>225.3367274656247</v>
      </c>
      <c r="BG46" s="346">
        <f t="shared" si="33"/>
        <v>376.54008590052229</v>
      </c>
      <c r="BH46" s="346">
        <f t="shared" si="33"/>
        <v>487.08535522326957</v>
      </c>
      <c r="BI46" s="346">
        <f t="shared" si="33"/>
        <v>429.56307301716259</v>
      </c>
      <c r="BJ46" s="346">
        <f t="shared" si="33"/>
        <v>1031.7683583382982</v>
      </c>
      <c r="BK46" s="346">
        <f t="shared" si="33"/>
        <v>1138.2985359395573</v>
      </c>
      <c r="BL46" s="346">
        <f t="shared" si="33"/>
        <v>600.58407013425051</v>
      </c>
      <c r="BM46" s="346">
        <f t="shared" si="33"/>
        <v>235.49914109515026</v>
      </c>
      <c r="BN46" s="346">
        <f t="shared" si="33"/>
        <v>388.79512949843206</v>
      </c>
      <c r="BO46" s="351">
        <f t="shared" si="33"/>
        <v>1012.7311631222526</v>
      </c>
    </row>
  </sheetData>
  <mergeCells count="7">
    <mergeCell ref="BC2:BO2"/>
    <mergeCell ref="A2:A3"/>
    <mergeCell ref="B2:B3"/>
    <mergeCell ref="C2:O2"/>
    <mergeCell ref="P2:AB2"/>
    <mergeCell ref="AC2:AO2"/>
    <mergeCell ref="AP2:BB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72C23-90A7-419D-A216-427EF24EAC02}">
  <sheetPr>
    <tabColor theme="8" tint="-0.249977111117893"/>
  </sheetPr>
  <dimension ref="A1:BO46"/>
  <sheetViews>
    <sheetView workbookViewId="0">
      <pane xSplit="2" ySplit="3" topLeftCell="C19" activePane="bottomRight" state="frozen"/>
      <selection activeCell="C45" sqref="C45"/>
      <selection pane="topRight" activeCell="C45" sqref="C45"/>
      <selection pane="bottomLeft" activeCell="C45" sqref="C45"/>
      <selection pane="bottomRight" activeCell="BC3" sqref="BC3:BO3"/>
    </sheetView>
  </sheetViews>
  <sheetFormatPr baseColWidth="10" defaultColWidth="11.42578125" defaultRowHeight="12" x14ac:dyDescent="0.2"/>
  <cols>
    <col min="1" max="1" width="2.85546875" style="109" bestFit="1" customWidth="1"/>
    <col min="2" max="2" width="31" style="288" bestFit="1" customWidth="1"/>
    <col min="3" max="3" width="11.42578125" style="109" bestFit="1" customWidth="1"/>
    <col min="4" max="4" width="10" style="109" bestFit="1" customWidth="1"/>
    <col min="5" max="5" width="11.42578125" style="109" bestFit="1" customWidth="1"/>
    <col min="6" max="6" width="13.140625" style="109" bestFit="1" customWidth="1"/>
    <col min="7" max="7" width="11.42578125" style="109" bestFit="1" customWidth="1"/>
    <col min="8" max="8" width="13.140625" style="109" bestFit="1" customWidth="1"/>
    <col min="9" max="9" width="10" style="109" bestFit="1" customWidth="1"/>
    <col min="10" max="10" width="7.5703125" style="109" bestFit="1" customWidth="1"/>
    <col min="11" max="11" width="11.42578125" style="295" bestFit="1" customWidth="1"/>
    <col min="12" max="13" width="11.42578125" style="109" bestFit="1" customWidth="1"/>
    <col min="14" max="14" width="10.85546875" style="109" bestFit="1" customWidth="1"/>
    <col min="15" max="15" width="13.5703125" style="109" bestFit="1" customWidth="1"/>
    <col min="16" max="16" width="11.42578125" style="109" bestFit="1" customWidth="1"/>
    <col min="17" max="18" width="10" style="109" bestFit="1" customWidth="1"/>
    <col min="19" max="19" width="13.140625" style="109" bestFit="1" customWidth="1"/>
    <col min="20" max="20" width="11.42578125" style="109" bestFit="1" customWidth="1"/>
    <col min="21" max="21" width="13.140625" style="109" bestFit="1" customWidth="1"/>
    <col min="22" max="26" width="11.42578125" style="109" bestFit="1" customWidth="1"/>
    <col min="27" max="28" width="10" style="109" bestFit="1" customWidth="1"/>
    <col min="29" max="29" width="11.42578125" style="109" bestFit="1" customWidth="1"/>
    <col min="30" max="30" width="10" style="109" bestFit="1" customWidth="1"/>
    <col min="31" max="31" width="11.42578125" style="109" bestFit="1" customWidth="1"/>
    <col min="32" max="32" width="13.140625" style="109" bestFit="1" customWidth="1"/>
    <col min="33" max="33" width="11.42578125" style="109" bestFit="1" customWidth="1"/>
    <col min="34" max="34" width="13.140625" style="109" bestFit="1" customWidth="1"/>
    <col min="35" max="39" width="11.42578125" style="109" bestFit="1" customWidth="1"/>
    <col min="40" max="41" width="10" style="109" bestFit="1" customWidth="1"/>
    <col min="42" max="42" width="11.42578125" style="109" bestFit="1" customWidth="1"/>
    <col min="43" max="43" width="10" style="109" bestFit="1" customWidth="1"/>
    <col min="44" max="44" width="11.42578125" style="109" bestFit="1" customWidth="1"/>
    <col min="45" max="45" width="13.140625" style="109" bestFit="1" customWidth="1"/>
    <col min="46" max="46" width="11.42578125" style="109" bestFit="1" customWidth="1"/>
    <col min="47" max="47" width="13.140625" style="109" bestFit="1" customWidth="1"/>
    <col min="48" max="52" width="11.42578125" style="109" bestFit="1" customWidth="1"/>
    <col min="53" max="54" width="10" style="109" bestFit="1" customWidth="1"/>
    <col min="55" max="55" width="11.42578125" style="109" bestFit="1" customWidth="1"/>
    <col min="56" max="56" width="10" style="109" bestFit="1" customWidth="1"/>
    <col min="57" max="57" width="11.42578125" style="109" bestFit="1" customWidth="1"/>
    <col min="58" max="58" width="13.140625" style="109" bestFit="1" customWidth="1"/>
    <col min="59" max="59" width="11.42578125" style="109" bestFit="1" customWidth="1"/>
    <col min="60" max="60" width="13.140625" style="109" bestFit="1" customWidth="1"/>
    <col min="61" max="65" width="11.42578125" style="109" bestFit="1" customWidth="1"/>
    <col min="66" max="67" width="10" style="109" bestFit="1" customWidth="1"/>
    <col min="68" max="16384" width="11.42578125" style="109"/>
  </cols>
  <sheetData>
    <row r="1" spans="1:67" x14ac:dyDescent="0.2">
      <c r="A1" s="271"/>
      <c r="B1" s="275"/>
      <c r="C1" s="271"/>
      <c r="D1" s="271"/>
      <c r="E1" s="271"/>
      <c r="F1" s="271"/>
      <c r="G1" s="271"/>
      <c r="H1" s="271"/>
      <c r="I1" s="271"/>
      <c r="J1" s="271"/>
      <c r="K1" s="291"/>
      <c r="L1" s="271"/>
      <c r="M1" s="271"/>
      <c r="N1" s="271"/>
      <c r="O1" s="271"/>
      <c r="P1" s="271"/>
      <c r="Q1" s="271"/>
      <c r="R1" s="271"/>
      <c r="S1" s="271"/>
      <c r="T1" s="271"/>
      <c r="U1" s="271"/>
      <c r="V1" s="271"/>
      <c r="W1" s="271"/>
      <c r="X1" s="271"/>
      <c r="Y1" s="271"/>
      <c r="Z1" s="271"/>
      <c r="AA1" s="271"/>
      <c r="AB1" s="271"/>
      <c r="AC1" s="271"/>
      <c r="AD1" s="271"/>
      <c r="AE1" s="271"/>
      <c r="AF1" s="271"/>
      <c r="AG1" s="271"/>
      <c r="AH1" s="271"/>
      <c r="AI1" s="271"/>
      <c r="AJ1" s="271"/>
      <c r="AK1" s="271"/>
      <c r="AL1" s="271"/>
      <c r="AM1" s="271"/>
      <c r="AN1" s="271"/>
      <c r="AO1" s="271"/>
      <c r="AP1" s="271"/>
      <c r="AQ1" s="271"/>
      <c r="AR1" s="271"/>
      <c r="AS1" s="271"/>
      <c r="AT1" s="271"/>
      <c r="AU1" s="271"/>
      <c r="AV1" s="271"/>
      <c r="AW1" s="271"/>
      <c r="AX1" s="271"/>
      <c r="AY1" s="271"/>
      <c r="AZ1" s="271"/>
      <c r="BA1" s="271"/>
      <c r="BB1" s="271"/>
      <c r="BC1" s="271"/>
      <c r="BD1" s="271"/>
      <c r="BE1" s="271"/>
      <c r="BF1" s="271"/>
      <c r="BG1" s="271"/>
      <c r="BH1" s="271"/>
      <c r="BI1" s="271"/>
      <c r="BJ1" s="271"/>
      <c r="BK1" s="271"/>
      <c r="BL1" s="271"/>
      <c r="BM1" s="271"/>
      <c r="BN1" s="271"/>
      <c r="BO1" s="271"/>
    </row>
    <row r="2" spans="1:67" ht="15" customHeight="1" x14ac:dyDescent="0.2">
      <c r="A2" s="367" t="s">
        <v>0</v>
      </c>
      <c r="B2" s="369" t="s">
        <v>1</v>
      </c>
      <c r="C2" s="366">
        <v>2019</v>
      </c>
      <c r="D2" s="366"/>
      <c r="E2" s="366"/>
      <c r="F2" s="366"/>
      <c r="G2" s="366"/>
      <c r="H2" s="366"/>
      <c r="I2" s="366"/>
      <c r="J2" s="366"/>
      <c r="K2" s="366"/>
      <c r="L2" s="366"/>
      <c r="M2" s="366"/>
      <c r="N2" s="366"/>
      <c r="O2" s="371"/>
      <c r="P2" s="372">
        <v>2020</v>
      </c>
      <c r="Q2" s="366"/>
      <c r="R2" s="366"/>
      <c r="S2" s="366"/>
      <c r="T2" s="366"/>
      <c r="U2" s="366"/>
      <c r="V2" s="366"/>
      <c r="W2" s="366"/>
      <c r="X2" s="366"/>
      <c r="Y2" s="366"/>
      <c r="Z2" s="366"/>
      <c r="AA2" s="366"/>
      <c r="AB2" s="371"/>
      <c r="AC2" s="372">
        <v>2021</v>
      </c>
      <c r="AD2" s="366"/>
      <c r="AE2" s="366"/>
      <c r="AF2" s="366"/>
      <c r="AG2" s="366"/>
      <c r="AH2" s="366"/>
      <c r="AI2" s="366"/>
      <c r="AJ2" s="366"/>
      <c r="AK2" s="366"/>
      <c r="AL2" s="366"/>
      <c r="AM2" s="366"/>
      <c r="AN2" s="366"/>
      <c r="AO2" s="371"/>
      <c r="AP2" s="372">
        <v>2022</v>
      </c>
      <c r="AQ2" s="366"/>
      <c r="AR2" s="366"/>
      <c r="AS2" s="366"/>
      <c r="AT2" s="366"/>
      <c r="AU2" s="366"/>
      <c r="AV2" s="366"/>
      <c r="AW2" s="366"/>
      <c r="AX2" s="366"/>
      <c r="AY2" s="366"/>
      <c r="AZ2" s="366"/>
      <c r="BA2" s="366"/>
      <c r="BB2" s="371"/>
      <c r="BC2" s="366">
        <v>2023</v>
      </c>
      <c r="BD2" s="366"/>
      <c r="BE2" s="366"/>
      <c r="BF2" s="366"/>
      <c r="BG2" s="366"/>
      <c r="BH2" s="366"/>
      <c r="BI2" s="366"/>
      <c r="BJ2" s="366"/>
      <c r="BK2" s="366"/>
      <c r="BL2" s="366"/>
      <c r="BM2" s="366"/>
      <c r="BN2" s="366"/>
      <c r="BO2" s="366"/>
    </row>
    <row r="3" spans="1:67" s="292" customFormat="1" ht="24.75" customHeight="1" thickBot="1" x14ac:dyDescent="0.25">
      <c r="A3" s="368"/>
      <c r="B3" s="370"/>
      <c r="C3" s="141" t="s">
        <v>206</v>
      </c>
      <c r="D3" s="141" t="s">
        <v>3</v>
      </c>
      <c r="E3" s="141" t="s">
        <v>4</v>
      </c>
      <c r="F3" s="66" t="s">
        <v>201</v>
      </c>
      <c r="G3" s="141" t="s">
        <v>5</v>
      </c>
      <c r="H3" s="141" t="s">
        <v>202</v>
      </c>
      <c r="I3" s="141" t="s">
        <v>203</v>
      </c>
      <c r="J3" s="141" t="s">
        <v>204</v>
      </c>
      <c r="K3" s="141" t="s">
        <v>205</v>
      </c>
      <c r="L3" s="141" t="s">
        <v>8</v>
      </c>
      <c r="M3" s="141" t="s">
        <v>60</v>
      </c>
      <c r="N3" s="141" t="s">
        <v>98</v>
      </c>
      <c r="O3" s="304" t="s">
        <v>9</v>
      </c>
      <c r="P3" s="141" t="s">
        <v>206</v>
      </c>
      <c r="Q3" s="141" t="s">
        <v>3</v>
      </c>
      <c r="R3" s="141" t="s">
        <v>4</v>
      </c>
      <c r="S3" s="66" t="s">
        <v>201</v>
      </c>
      <c r="T3" s="141" t="s">
        <v>5</v>
      </c>
      <c r="U3" s="141" t="s">
        <v>202</v>
      </c>
      <c r="V3" s="141" t="s">
        <v>203</v>
      </c>
      <c r="W3" s="141" t="s">
        <v>204</v>
      </c>
      <c r="X3" s="141" t="s">
        <v>205</v>
      </c>
      <c r="Y3" s="141" t="s">
        <v>8</v>
      </c>
      <c r="Z3" s="141" t="s">
        <v>60</v>
      </c>
      <c r="AA3" s="141" t="s">
        <v>98</v>
      </c>
      <c r="AB3" s="304" t="s">
        <v>9</v>
      </c>
      <c r="AC3" s="141" t="s">
        <v>206</v>
      </c>
      <c r="AD3" s="141" t="s">
        <v>3</v>
      </c>
      <c r="AE3" s="141" t="s">
        <v>4</v>
      </c>
      <c r="AF3" s="66" t="s">
        <v>201</v>
      </c>
      <c r="AG3" s="141" t="s">
        <v>5</v>
      </c>
      <c r="AH3" s="141" t="s">
        <v>202</v>
      </c>
      <c r="AI3" s="141" t="s">
        <v>203</v>
      </c>
      <c r="AJ3" s="141" t="s">
        <v>204</v>
      </c>
      <c r="AK3" s="141" t="s">
        <v>205</v>
      </c>
      <c r="AL3" s="141" t="s">
        <v>8</v>
      </c>
      <c r="AM3" s="141" t="s">
        <v>60</v>
      </c>
      <c r="AN3" s="141" t="s">
        <v>98</v>
      </c>
      <c r="AO3" s="304" t="s">
        <v>9</v>
      </c>
      <c r="AP3" s="141" t="s">
        <v>206</v>
      </c>
      <c r="AQ3" s="141" t="s">
        <v>3</v>
      </c>
      <c r="AR3" s="141" t="s">
        <v>4</v>
      </c>
      <c r="AS3" s="66" t="s">
        <v>201</v>
      </c>
      <c r="AT3" s="141" t="s">
        <v>5</v>
      </c>
      <c r="AU3" s="141" t="s">
        <v>202</v>
      </c>
      <c r="AV3" s="141" t="s">
        <v>203</v>
      </c>
      <c r="AW3" s="141" t="s">
        <v>204</v>
      </c>
      <c r="AX3" s="141" t="s">
        <v>205</v>
      </c>
      <c r="AY3" s="141" t="s">
        <v>8</v>
      </c>
      <c r="AZ3" s="141" t="s">
        <v>60</v>
      </c>
      <c r="BA3" s="141" t="s">
        <v>98</v>
      </c>
      <c r="BB3" s="304" t="s">
        <v>9</v>
      </c>
      <c r="BC3" s="141" t="s">
        <v>206</v>
      </c>
      <c r="BD3" s="141" t="s">
        <v>3</v>
      </c>
      <c r="BE3" s="141" t="s">
        <v>4</v>
      </c>
      <c r="BF3" s="66" t="s">
        <v>201</v>
      </c>
      <c r="BG3" s="141" t="s">
        <v>5</v>
      </c>
      <c r="BH3" s="141" t="s">
        <v>202</v>
      </c>
      <c r="BI3" s="141" t="s">
        <v>203</v>
      </c>
      <c r="BJ3" s="141" t="s">
        <v>204</v>
      </c>
      <c r="BK3" s="141" t="s">
        <v>205</v>
      </c>
      <c r="BL3" s="141" t="s">
        <v>8</v>
      </c>
      <c r="BM3" s="141" t="s">
        <v>60</v>
      </c>
      <c r="BN3" s="141" t="s">
        <v>98</v>
      </c>
      <c r="BO3" s="304" t="s">
        <v>9</v>
      </c>
    </row>
    <row r="4" spans="1:67" x14ac:dyDescent="0.2">
      <c r="A4" s="109">
        <v>1</v>
      </c>
      <c r="B4" s="276" t="s">
        <v>10</v>
      </c>
      <c r="C4" s="42">
        <v>72389638.025256202</v>
      </c>
      <c r="D4" s="42">
        <v>4851744</v>
      </c>
      <c r="E4" s="42">
        <v>21652674</v>
      </c>
      <c r="F4" s="42">
        <v>11962948</v>
      </c>
      <c r="G4" s="42">
        <v>20271447</v>
      </c>
      <c r="H4" s="42">
        <v>13231957</v>
      </c>
      <c r="I4" s="42">
        <v>20480585</v>
      </c>
      <c r="J4" s="42"/>
      <c r="K4" s="277">
        <v>27139473.616556801</v>
      </c>
      <c r="L4" s="42">
        <v>18637019</v>
      </c>
      <c r="M4" s="42">
        <v>18000000</v>
      </c>
      <c r="N4" s="42">
        <v>14424903</v>
      </c>
      <c r="O4" s="70">
        <v>12623017</v>
      </c>
      <c r="P4" s="278">
        <v>73795435.965913951</v>
      </c>
      <c r="Q4" s="42">
        <v>4586164</v>
      </c>
      <c r="R4" s="42">
        <v>19624375</v>
      </c>
      <c r="S4" s="42">
        <v>11702983</v>
      </c>
      <c r="T4" s="42">
        <v>19547359</v>
      </c>
      <c r="U4" s="42">
        <v>12996274</v>
      </c>
      <c r="V4" s="42">
        <v>21714769</v>
      </c>
      <c r="W4" s="42">
        <v>43760994</v>
      </c>
      <c r="X4" s="42">
        <v>28501175.240000002</v>
      </c>
      <c r="Y4" s="42">
        <v>18915288</v>
      </c>
      <c r="Z4" s="42">
        <v>17892520</v>
      </c>
      <c r="AA4" s="42">
        <v>13852287</v>
      </c>
      <c r="AB4" s="70">
        <v>12932858</v>
      </c>
      <c r="AC4" s="278">
        <v>78374372.22460033</v>
      </c>
      <c r="AD4" s="42">
        <v>4750279</v>
      </c>
      <c r="AE4" s="42">
        <v>20960528</v>
      </c>
      <c r="AF4" s="42">
        <v>10280950</v>
      </c>
      <c r="AG4" s="42">
        <v>19598180</v>
      </c>
      <c r="AH4" s="42">
        <v>12680898</v>
      </c>
      <c r="AI4" s="42">
        <v>22905933</v>
      </c>
      <c r="AJ4" s="42">
        <v>39587285</v>
      </c>
      <c r="AK4" s="42">
        <v>29564629.908600003</v>
      </c>
      <c r="AL4" s="42">
        <v>19606203</v>
      </c>
      <c r="AM4" s="42">
        <v>17884249</v>
      </c>
      <c r="AN4" s="42">
        <v>12680597</v>
      </c>
      <c r="AO4" s="70">
        <v>13140409</v>
      </c>
      <c r="AP4" s="278">
        <v>78000000</v>
      </c>
      <c r="AQ4" s="42">
        <v>4746484</v>
      </c>
      <c r="AR4" s="42">
        <v>21129827</v>
      </c>
      <c r="AS4" s="42">
        <v>10477909</v>
      </c>
      <c r="AT4" s="42">
        <v>19513125</v>
      </c>
      <c r="AU4" s="42">
        <v>12540464</v>
      </c>
      <c r="AV4" s="42">
        <v>22565984</v>
      </c>
      <c r="AW4" s="42">
        <v>45616689</v>
      </c>
      <c r="AX4" s="42">
        <v>29312321</v>
      </c>
      <c r="AY4" s="42">
        <v>18959546</v>
      </c>
      <c r="AZ4" s="42">
        <v>17233306</v>
      </c>
      <c r="BA4" s="42">
        <v>12932967</v>
      </c>
      <c r="BB4" s="70">
        <v>12587528</v>
      </c>
      <c r="BC4" s="42">
        <v>77729466.744973943</v>
      </c>
      <c r="BD4" s="42">
        <v>4604834</v>
      </c>
      <c r="BE4" s="42">
        <v>21915452</v>
      </c>
      <c r="BF4" s="42">
        <v>10550432</v>
      </c>
      <c r="BG4" s="42">
        <v>19605285</v>
      </c>
      <c r="BH4" s="42">
        <v>12320279</v>
      </c>
      <c r="BI4" s="42">
        <v>23304076</v>
      </c>
      <c r="BJ4" s="42">
        <v>46346450</v>
      </c>
      <c r="BK4" s="42">
        <v>29630903.190000005</v>
      </c>
      <c r="BL4" s="42">
        <v>19164070</v>
      </c>
      <c r="BM4" s="42">
        <v>16815069</v>
      </c>
      <c r="BN4" s="42">
        <v>12828535</v>
      </c>
      <c r="BO4" s="42">
        <v>13830327</v>
      </c>
    </row>
    <row r="5" spans="1:67" x14ac:dyDescent="0.2">
      <c r="A5" s="109">
        <v>2</v>
      </c>
      <c r="B5" s="276" t="s">
        <v>11</v>
      </c>
      <c r="C5" s="42">
        <v>3161000000</v>
      </c>
      <c r="D5" s="42">
        <v>200374770</v>
      </c>
      <c r="E5" s="42" t="s">
        <v>30</v>
      </c>
      <c r="F5" s="42">
        <v>514406764</v>
      </c>
      <c r="G5" s="42">
        <v>773372092</v>
      </c>
      <c r="H5" s="42">
        <v>604303476.19000006</v>
      </c>
      <c r="I5" s="42">
        <v>956173071</v>
      </c>
      <c r="J5" s="42"/>
      <c r="K5" s="277">
        <v>1221276312.7450562</v>
      </c>
      <c r="L5" s="42">
        <v>742540480</v>
      </c>
      <c r="M5" s="42">
        <v>810000000</v>
      </c>
      <c r="N5" s="42">
        <v>504871605</v>
      </c>
      <c r="O5" s="70">
        <v>504920680</v>
      </c>
      <c r="P5" s="278">
        <v>3099032691.975636</v>
      </c>
      <c r="Q5" s="42">
        <v>190411623</v>
      </c>
      <c r="R5" s="42">
        <v>617202987</v>
      </c>
      <c r="S5" s="42">
        <v>503228269</v>
      </c>
      <c r="T5" s="42">
        <v>746504924</v>
      </c>
      <c r="U5" s="42">
        <v>593539833.58000004</v>
      </c>
      <c r="V5" s="42">
        <v>1002576982</v>
      </c>
      <c r="W5" s="42">
        <v>1808966342</v>
      </c>
      <c r="X5" s="42">
        <v>1282552885.8000002</v>
      </c>
      <c r="Y5" s="42">
        <v>833386693</v>
      </c>
      <c r="Z5" s="42">
        <v>805163400</v>
      </c>
      <c r="AA5" s="42">
        <v>157513051</v>
      </c>
      <c r="AB5" s="70">
        <v>517314320</v>
      </c>
      <c r="AC5" s="278">
        <v>3343972478.0162907</v>
      </c>
      <c r="AD5" s="42">
        <v>197013989</v>
      </c>
      <c r="AE5" s="42">
        <v>678200512</v>
      </c>
      <c r="AF5" s="42">
        <v>442080850</v>
      </c>
      <c r="AG5" s="42">
        <v>747534480</v>
      </c>
      <c r="AH5" s="42">
        <v>579136611.65999997</v>
      </c>
      <c r="AI5" s="42">
        <v>1089105346</v>
      </c>
      <c r="AJ5" s="42">
        <v>1650196680</v>
      </c>
      <c r="AK5" s="42">
        <v>1330408346</v>
      </c>
      <c r="AL5" s="42">
        <v>862672932</v>
      </c>
      <c r="AM5" s="42">
        <v>804791205</v>
      </c>
      <c r="AN5" s="42">
        <v>443820895</v>
      </c>
      <c r="AO5" s="70">
        <v>525616360</v>
      </c>
      <c r="AP5" s="278">
        <v>3311810313.1180086</v>
      </c>
      <c r="AQ5" s="42">
        <v>191544097</v>
      </c>
      <c r="AR5" s="42">
        <v>687265662</v>
      </c>
      <c r="AS5" s="42">
        <v>450550087</v>
      </c>
      <c r="AT5" s="42">
        <v>744472500</v>
      </c>
      <c r="AU5" s="42">
        <v>587028994</v>
      </c>
      <c r="AV5" s="42">
        <v>1039050506</v>
      </c>
      <c r="AW5" s="42">
        <v>1979344349</v>
      </c>
      <c r="AX5" s="42">
        <v>1319054445</v>
      </c>
      <c r="AY5" s="42">
        <v>834220024</v>
      </c>
      <c r="AZ5" s="42">
        <v>775498770</v>
      </c>
      <c r="BA5" s="42">
        <v>452653862</v>
      </c>
      <c r="BB5" s="70">
        <v>503501120</v>
      </c>
      <c r="BC5" s="42">
        <v>3317859512.7112246</v>
      </c>
      <c r="BD5" s="42">
        <v>195705445</v>
      </c>
      <c r="BE5" s="42">
        <v>680682837</v>
      </c>
      <c r="BF5" s="42">
        <v>453668576</v>
      </c>
      <c r="BG5" s="42">
        <v>747790260</v>
      </c>
      <c r="BH5" s="42">
        <v>581437252</v>
      </c>
      <c r="BI5" s="42">
        <v>1001785391</v>
      </c>
      <c r="BJ5" s="42">
        <v>2016385983</v>
      </c>
      <c r="BK5" s="42">
        <v>1274128837.1700003</v>
      </c>
      <c r="BL5" s="42">
        <v>843219080</v>
      </c>
      <c r="BM5" s="42">
        <v>756678105</v>
      </c>
      <c r="BN5" s="42">
        <v>448998725</v>
      </c>
      <c r="BO5" s="42">
        <v>553213080</v>
      </c>
    </row>
    <row r="6" spans="1:67" x14ac:dyDescent="0.2">
      <c r="A6" s="109">
        <v>3</v>
      </c>
      <c r="B6" s="276" t="s">
        <v>12</v>
      </c>
      <c r="C6" s="42">
        <v>179712441.9867318</v>
      </c>
      <c r="D6" s="42">
        <v>1543858</v>
      </c>
      <c r="E6" s="42">
        <v>11299106</v>
      </c>
      <c r="F6" s="42">
        <v>10192372</v>
      </c>
      <c r="G6" s="42">
        <v>16640161</v>
      </c>
      <c r="H6" s="42">
        <v>12625254</v>
      </c>
      <c r="I6" s="42">
        <v>27155934</v>
      </c>
      <c r="J6" s="42"/>
      <c r="K6" s="277">
        <v>40789464</v>
      </c>
      <c r="L6" s="42">
        <v>18983713</v>
      </c>
      <c r="M6" s="42">
        <v>6042411</v>
      </c>
      <c r="N6" s="42">
        <v>8001221</v>
      </c>
      <c r="O6" s="70">
        <v>12801227</v>
      </c>
      <c r="P6" s="278">
        <v>117630310.43723659</v>
      </c>
      <c r="Q6" s="42">
        <v>1185928</v>
      </c>
      <c r="R6" s="42">
        <v>7529929</v>
      </c>
      <c r="S6" s="42">
        <v>7041519</v>
      </c>
      <c r="T6" s="42">
        <v>11539922</v>
      </c>
      <c r="U6" s="42">
        <v>8832030</v>
      </c>
      <c r="V6" s="42">
        <v>20170969</v>
      </c>
      <c r="W6" s="42">
        <v>4001600</v>
      </c>
      <c r="X6" s="42">
        <v>28775643</v>
      </c>
      <c r="Y6" s="42">
        <v>14406819</v>
      </c>
      <c r="Z6" s="42">
        <v>4140727</v>
      </c>
      <c r="AA6" s="42">
        <v>5430833</v>
      </c>
      <c r="AB6" s="70">
        <v>10683716</v>
      </c>
      <c r="AC6" s="278">
        <v>120326672.90523006</v>
      </c>
      <c r="AD6" s="42">
        <v>848750</v>
      </c>
      <c r="AE6" s="42">
        <v>8417101</v>
      </c>
      <c r="AF6" s="42">
        <v>6741987</v>
      </c>
      <c r="AG6" s="42">
        <v>11126668</v>
      </c>
      <c r="AH6" s="42">
        <v>9125123</v>
      </c>
      <c r="AI6" s="42">
        <v>23274661</v>
      </c>
      <c r="AJ6" s="42">
        <v>45786000</v>
      </c>
      <c r="AK6" s="42">
        <v>33329452</v>
      </c>
      <c r="AL6" s="42">
        <v>14801485</v>
      </c>
      <c r="AM6" s="42">
        <v>4007517</v>
      </c>
      <c r="AN6" s="42">
        <v>5749440</v>
      </c>
      <c r="AO6" s="70">
        <v>12137925</v>
      </c>
      <c r="AP6" s="278">
        <v>159178574.26771131</v>
      </c>
      <c r="AQ6" s="42">
        <v>942871</v>
      </c>
      <c r="AR6" s="42">
        <v>9764547</v>
      </c>
      <c r="AS6" s="42">
        <v>7362125</v>
      </c>
      <c r="AT6" s="42">
        <v>14114413</v>
      </c>
      <c r="AU6" s="42">
        <v>11222273</v>
      </c>
      <c r="AV6" s="42">
        <v>28984074</v>
      </c>
      <c r="AW6" s="42">
        <v>57805000</v>
      </c>
      <c r="AX6" s="42">
        <v>41167572</v>
      </c>
      <c r="AY6" s="42">
        <v>18336236</v>
      </c>
      <c r="AZ6" s="42">
        <v>4820892</v>
      </c>
      <c r="BA6" s="42">
        <v>6437178</v>
      </c>
      <c r="BB6" s="70">
        <v>14993451</v>
      </c>
      <c r="BC6" s="42">
        <v>180074853.54570207</v>
      </c>
      <c r="BD6" s="42">
        <v>1499197</v>
      </c>
      <c r="BE6" s="42">
        <v>10717629</v>
      </c>
      <c r="BF6" s="42">
        <v>8837379</v>
      </c>
      <c r="BG6" s="42">
        <v>15856278</v>
      </c>
      <c r="BH6" s="42">
        <v>12054762</v>
      </c>
      <c r="BI6" s="42">
        <v>34466506</v>
      </c>
      <c r="BJ6" s="42">
        <v>63071000</v>
      </c>
      <c r="BK6" s="42">
        <v>47101026</v>
      </c>
      <c r="BL6" s="42">
        <v>20862384</v>
      </c>
      <c r="BM6" s="42">
        <v>6367799</v>
      </c>
      <c r="BN6" s="42">
        <v>7409937</v>
      </c>
      <c r="BO6" s="42">
        <v>17800417</v>
      </c>
    </row>
    <row r="7" spans="1:67" x14ac:dyDescent="0.2">
      <c r="A7" s="109">
        <v>4</v>
      </c>
      <c r="B7" s="279" t="s">
        <v>13</v>
      </c>
      <c r="C7" s="42">
        <v>1453977723.2182922</v>
      </c>
      <c r="D7" s="42">
        <v>38382049</v>
      </c>
      <c r="E7" s="42">
        <v>181683024</v>
      </c>
      <c r="F7" s="42">
        <v>68963335</v>
      </c>
      <c r="G7" s="42">
        <v>166522950.69999999</v>
      </c>
      <c r="H7" s="42">
        <v>144685410.84</v>
      </c>
      <c r="I7" s="42">
        <v>150111141</v>
      </c>
      <c r="J7" s="42"/>
      <c r="K7" s="277">
        <v>428289372</v>
      </c>
      <c r="L7" s="42">
        <v>177253697</v>
      </c>
      <c r="M7" s="42">
        <v>54381699</v>
      </c>
      <c r="N7" s="42">
        <v>80012210</v>
      </c>
      <c r="O7" s="70">
        <v>156525411</v>
      </c>
      <c r="P7" s="278">
        <v>845250128.07263398</v>
      </c>
      <c r="Q7" s="42">
        <v>28459023</v>
      </c>
      <c r="R7" s="42">
        <v>81882629</v>
      </c>
      <c r="S7" s="42">
        <v>57469446</v>
      </c>
      <c r="T7" s="42">
        <v>115594157.79999998</v>
      </c>
      <c r="U7" s="42">
        <v>124531623</v>
      </c>
      <c r="V7" s="42">
        <v>146089940</v>
      </c>
      <c r="W7" s="42">
        <v>300469979</v>
      </c>
      <c r="X7" s="42">
        <v>302144251.5</v>
      </c>
      <c r="Y7" s="42">
        <v>135468473</v>
      </c>
      <c r="Z7" s="42">
        <v>37266543</v>
      </c>
      <c r="AA7" s="42">
        <v>54308330</v>
      </c>
      <c r="AB7" s="70">
        <v>134501723</v>
      </c>
      <c r="AC7" s="278">
        <v>895385614.79421031</v>
      </c>
      <c r="AD7" s="42">
        <v>22205376</v>
      </c>
      <c r="AE7" s="42">
        <v>90938676</v>
      </c>
      <c r="AF7" s="42">
        <v>55170668</v>
      </c>
      <c r="AG7" s="42">
        <v>111030242</v>
      </c>
      <c r="AH7" s="42">
        <v>125363959</v>
      </c>
      <c r="AI7" s="42">
        <v>140685881</v>
      </c>
      <c r="AJ7" s="42">
        <v>348178765</v>
      </c>
      <c r="AK7" s="42">
        <v>349959246</v>
      </c>
      <c r="AL7" s="42">
        <v>139178363</v>
      </c>
      <c r="AM7" s="42">
        <v>36067653</v>
      </c>
      <c r="AN7" s="42">
        <v>57494400</v>
      </c>
      <c r="AO7" s="70">
        <v>136660254</v>
      </c>
      <c r="AP7" s="278">
        <v>759000000</v>
      </c>
      <c r="AQ7" s="42">
        <v>26306906</v>
      </c>
      <c r="AR7" s="42">
        <v>105247093</v>
      </c>
      <c r="AS7" s="42">
        <v>66954694</v>
      </c>
      <c r="AT7" s="42">
        <v>142138317.5</v>
      </c>
      <c r="AU7" s="42">
        <v>139436996</v>
      </c>
      <c r="AV7" s="42">
        <v>172789891</v>
      </c>
      <c r="AW7" s="42">
        <v>423611137</v>
      </c>
      <c r="AX7" s="42">
        <v>307779371</v>
      </c>
      <c r="AY7" s="42">
        <v>172969823</v>
      </c>
      <c r="AZ7" s="42">
        <v>43388028</v>
      </c>
      <c r="BA7" s="42">
        <v>64371780</v>
      </c>
      <c r="BB7" s="70">
        <v>130910291</v>
      </c>
      <c r="BC7" s="42">
        <v>847639899.25943065</v>
      </c>
      <c r="BD7" s="42">
        <v>30671903</v>
      </c>
      <c r="BE7" s="42">
        <v>114646625</v>
      </c>
      <c r="BF7" s="42">
        <v>69665328</v>
      </c>
      <c r="BG7" s="42">
        <v>160280183.40000001</v>
      </c>
      <c r="BH7" s="42">
        <v>138019045</v>
      </c>
      <c r="BI7" s="42">
        <v>190269070</v>
      </c>
      <c r="BJ7" s="42">
        <v>480056984</v>
      </c>
      <c r="BK7" s="42">
        <v>494560773</v>
      </c>
      <c r="BL7" s="42">
        <v>189736913.20000002</v>
      </c>
      <c r="BM7" s="42">
        <v>57310191</v>
      </c>
      <c r="BN7" s="42">
        <v>74099370</v>
      </c>
      <c r="BO7" s="42">
        <v>143835401</v>
      </c>
    </row>
    <row r="8" spans="1:67" x14ac:dyDescent="0.2">
      <c r="A8" s="109">
        <v>5</v>
      </c>
      <c r="B8" s="276" t="s">
        <v>14</v>
      </c>
      <c r="C8" s="42">
        <v>3936165958.4877357</v>
      </c>
      <c r="D8" s="42" t="s">
        <v>28</v>
      </c>
      <c r="E8" s="42" t="s">
        <v>30</v>
      </c>
      <c r="F8" s="42">
        <v>765628672</v>
      </c>
      <c r="G8" s="42">
        <v>1637001290</v>
      </c>
      <c r="H8" s="42">
        <v>125730055414</v>
      </c>
      <c r="I8" s="42">
        <v>956173071</v>
      </c>
      <c r="J8" s="42"/>
      <c r="K8" s="277">
        <v>2268859994.3441486</v>
      </c>
      <c r="L8" s="42">
        <v>1136858159</v>
      </c>
      <c r="M8" s="42">
        <v>1422000000</v>
      </c>
      <c r="N8" s="42"/>
      <c r="O8" s="70"/>
      <c r="P8" s="278">
        <v>5090675399.3119087</v>
      </c>
      <c r="Q8" s="42" t="s">
        <v>28</v>
      </c>
      <c r="R8" s="42">
        <v>925804480.5</v>
      </c>
      <c r="S8" s="42">
        <v>748990912</v>
      </c>
      <c r="T8" s="42">
        <v>1582315130</v>
      </c>
      <c r="U8" s="42">
        <v>123490595548</v>
      </c>
      <c r="V8" s="42">
        <v>1002576982</v>
      </c>
      <c r="W8" s="42">
        <v>3202295858.1400013</v>
      </c>
      <c r="X8" s="42">
        <v>2382698250.0640001</v>
      </c>
      <c r="Y8" s="42">
        <v>1153832568</v>
      </c>
      <c r="Z8" s="42">
        <v>1413509080</v>
      </c>
      <c r="AA8" s="42"/>
      <c r="AB8" s="70"/>
      <c r="AC8" s="278">
        <v>5461338782.4329481</v>
      </c>
      <c r="AD8" s="42" t="s">
        <v>28</v>
      </c>
      <c r="AE8" s="42">
        <v>1017300768</v>
      </c>
      <c r="AF8" s="42">
        <v>657980800</v>
      </c>
      <c r="AG8" s="42">
        <v>1581872600</v>
      </c>
      <c r="AH8" s="42">
        <v>120493892796</v>
      </c>
      <c r="AI8" s="42">
        <v>1089105346</v>
      </c>
      <c r="AJ8" s="42">
        <v>3453564658</v>
      </c>
      <c r="AK8" s="42">
        <v>2344475151.7519803</v>
      </c>
      <c r="AL8" s="42">
        <v>1195978383</v>
      </c>
      <c r="AM8" s="42">
        <v>1412855671</v>
      </c>
      <c r="AN8" s="42"/>
      <c r="AO8" s="70"/>
      <c r="AP8" s="278">
        <v>5404000000</v>
      </c>
      <c r="AQ8" s="42" t="s">
        <v>28</v>
      </c>
      <c r="AR8" s="42">
        <v>1030898493</v>
      </c>
      <c r="AS8" s="42">
        <v>670586176</v>
      </c>
      <c r="AT8" s="42">
        <v>1575918750</v>
      </c>
      <c r="AU8" s="42">
        <v>119159488928</v>
      </c>
      <c r="AV8" s="42">
        <v>1039050506</v>
      </c>
      <c r="AW8" s="42">
        <v>3989931477.7850003</v>
      </c>
      <c r="AX8" s="42">
        <v>2324467055.2999997</v>
      </c>
      <c r="AY8" s="42">
        <v>1156532306</v>
      </c>
      <c r="AZ8" s="42">
        <v>1361431174</v>
      </c>
      <c r="BA8" s="42"/>
      <c r="BB8" s="70"/>
      <c r="BC8" s="42">
        <v>5429950340.7130346</v>
      </c>
      <c r="BD8" s="42" t="s">
        <v>28</v>
      </c>
      <c r="BE8" s="42">
        <v>1021024255.5</v>
      </c>
      <c r="BF8" s="42">
        <v>675227648</v>
      </c>
      <c r="BG8" s="42">
        <v>1582369950</v>
      </c>
      <c r="BH8" s="42">
        <v>117067291058</v>
      </c>
      <c r="BI8" s="42">
        <v>1001785391</v>
      </c>
      <c r="BJ8" s="42">
        <v>4059679428</v>
      </c>
      <c r="BK8" s="42">
        <v>2349730622.9670005</v>
      </c>
      <c r="BL8" s="42">
        <v>1169008270</v>
      </c>
      <c r="BM8" s="42">
        <v>1328390451</v>
      </c>
      <c r="BN8" s="42"/>
      <c r="BO8" s="42"/>
    </row>
    <row r="9" spans="1:67" x14ac:dyDescent="0.2">
      <c r="A9" s="109">
        <v>6</v>
      </c>
      <c r="B9" s="276" t="s">
        <v>15</v>
      </c>
      <c r="C9" s="42">
        <v>83248083.729044616</v>
      </c>
      <c r="D9" s="42">
        <v>5579505.5999999996</v>
      </c>
      <c r="E9" s="42" t="s">
        <v>30</v>
      </c>
      <c r="F9" s="42">
        <v>13757390.199999999</v>
      </c>
      <c r="G9" s="42">
        <v>23312164.049999997</v>
      </c>
      <c r="H9" s="42">
        <v>15216750.549999999</v>
      </c>
      <c r="I9" s="42">
        <v>20480585</v>
      </c>
      <c r="J9" s="42"/>
      <c r="K9" s="277">
        <v>31210394.659040317</v>
      </c>
      <c r="L9" s="42">
        <v>21432571.849999998</v>
      </c>
      <c r="M9" s="42">
        <v>20700000</v>
      </c>
      <c r="N9" s="42"/>
      <c r="O9" s="70">
        <v>14516469.549999999</v>
      </c>
      <c r="P9" s="278">
        <v>84864751.360801041</v>
      </c>
      <c r="Q9" s="42">
        <v>5274088.5999999996</v>
      </c>
      <c r="R9" s="42">
        <v>22568031.25</v>
      </c>
      <c r="S9" s="42">
        <v>13458430.449999999</v>
      </c>
      <c r="T9" s="42">
        <v>22479462.849999998</v>
      </c>
      <c r="U9" s="42">
        <v>14945715.1</v>
      </c>
      <c r="V9" s="42">
        <v>21714769</v>
      </c>
      <c r="W9" s="42">
        <v>50325143.099999994</v>
      </c>
      <c r="X9" s="42">
        <v>32776351.526000001</v>
      </c>
      <c r="Y9" s="42">
        <v>21752581.199999999</v>
      </c>
      <c r="Z9" s="42">
        <v>20576398</v>
      </c>
      <c r="AA9" s="42"/>
      <c r="AB9" s="70">
        <v>14872786.699999999</v>
      </c>
      <c r="AC9" s="278">
        <v>90130528.058290377</v>
      </c>
      <c r="AD9" s="42">
        <v>5462820.8499999996</v>
      </c>
      <c r="AE9" s="42">
        <v>24104607.199999999</v>
      </c>
      <c r="AF9" s="42">
        <v>11823092.5</v>
      </c>
      <c r="AG9" s="42">
        <v>22537907</v>
      </c>
      <c r="AH9" s="42">
        <v>14583032.699999999</v>
      </c>
      <c r="AI9" s="42">
        <v>22905933</v>
      </c>
      <c r="AJ9" s="42">
        <v>45525377.75</v>
      </c>
      <c r="AK9" s="42">
        <v>33999324.394890003</v>
      </c>
      <c r="AL9" s="42">
        <v>22547133.449999999</v>
      </c>
      <c r="AM9" s="42">
        <v>20566886.349999998</v>
      </c>
      <c r="AN9" s="42"/>
      <c r="AO9" s="70">
        <v>15111470.35</v>
      </c>
      <c r="AP9" s="278">
        <v>89699999.999999985</v>
      </c>
      <c r="AQ9" s="42">
        <v>5458456.5999999996</v>
      </c>
      <c r="AR9" s="42">
        <v>24299301.049999997</v>
      </c>
      <c r="AS9" s="42">
        <v>12049595.35</v>
      </c>
      <c r="AT9" s="42">
        <v>22440093.75</v>
      </c>
      <c r="AU9" s="42">
        <v>14421533.6</v>
      </c>
      <c r="AV9" s="42">
        <v>22565984</v>
      </c>
      <c r="AW9" s="42">
        <v>52459192.349999994</v>
      </c>
      <c r="AX9" s="42">
        <v>33709169.149999999</v>
      </c>
      <c r="AY9" s="42">
        <v>21803477.899999999</v>
      </c>
      <c r="AZ9" s="42">
        <v>19818301.899999999</v>
      </c>
      <c r="BA9" s="42"/>
      <c r="BB9" s="70">
        <v>14475657.199999999</v>
      </c>
      <c r="BC9" s="42">
        <v>89388886.756720021</v>
      </c>
      <c r="BD9" s="42">
        <v>5295559.0999999996</v>
      </c>
      <c r="BE9" s="42">
        <v>25202769.799999997</v>
      </c>
      <c r="BF9" s="42">
        <v>12132996.799999999</v>
      </c>
      <c r="BG9" s="42">
        <v>22546077.75</v>
      </c>
      <c r="BH9" s="42">
        <v>14168320.85</v>
      </c>
      <c r="BI9" s="42">
        <v>23304076</v>
      </c>
      <c r="BJ9" s="42">
        <v>53298417.499999993</v>
      </c>
      <c r="BK9" s="42">
        <v>34075538.668500006</v>
      </c>
      <c r="BL9" s="42">
        <v>22038680.5</v>
      </c>
      <c r="BM9" s="42">
        <v>19337329.349999998</v>
      </c>
      <c r="BN9" s="42"/>
      <c r="BO9" s="42">
        <v>15904876.049999999</v>
      </c>
    </row>
    <row r="10" spans="1:67" x14ac:dyDescent="0.2">
      <c r="A10" s="109">
        <v>7</v>
      </c>
      <c r="B10" s="276" t="s">
        <v>16</v>
      </c>
      <c r="C10" s="42">
        <v>1136887735.714293</v>
      </c>
      <c r="D10" s="42">
        <v>230000000</v>
      </c>
      <c r="E10" s="42">
        <v>709600000</v>
      </c>
      <c r="F10" s="42">
        <v>409800000</v>
      </c>
      <c r="G10" s="42"/>
      <c r="H10" s="42">
        <v>434299998</v>
      </c>
      <c r="I10" s="42"/>
      <c r="J10" s="42"/>
      <c r="K10" s="277">
        <v>675495000</v>
      </c>
      <c r="L10" s="42">
        <v>440985000</v>
      </c>
      <c r="M10" s="42">
        <v>378070000</v>
      </c>
      <c r="N10" s="42">
        <v>319235312</v>
      </c>
      <c r="O10" s="70">
        <v>247268516.193573</v>
      </c>
      <c r="P10" s="278">
        <v>2158606754.8376379</v>
      </c>
      <c r="Q10" s="42">
        <v>230000000</v>
      </c>
      <c r="R10" s="42">
        <v>704362600</v>
      </c>
      <c r="S10" s="280">
        <v>450800000</v>
      </c>
      <c r="T10" s="42">
        <v>618507202</v>
      </c>
      <c r="U10" s="42">
        <v>456215983</v>
      </c>
      <c r="V10" s="42"/>
      <c r="W10" s="42">
        <v>1426791933</v>
      </c>
      <c r="X10" s="42">
        <v>698493000</v>
      </c>
      <c r="Y10" s="42">
        <v>470651988</v>
      </c>
      <c r="Z10" s="42">
        <v>478301000</v>
      </c>
      <c r="AA10" s="42">
        <v>393000337</v>
      </c>
      <c r="AB10" s="70">
        <v>293448951.19461805</v>
      </c>
      <c r="AC10" s="278">
        <v>2279175362.9699669</v>
      </c>
      <c r="AD10" s="42">
        <v>235000000</v>
      </c>
      <c r="AE10" s="42">
        <v>700112334</v>
      </c>
      <c r="AF10" s="42">
        <v>421800000</v>
      </c>
      <c r="AG10" s="42">
        <v>612890494</v>
      </c>
      <c r="AH10" s="42">
        <v>462100000</v>
      </c>
      <c r="AI10" s="42"/>
      <c r="AJ10" s="42">
        <v>1432347772</v>
      </c>
      <c r="AK10" s="42">
        <v>709697000</v>
      </c>
      <c r="AL10" s="42">
        <v>19639903</v>
      </c>
      <c r="AM10" s="42">
        <v>424478000</v>
      </c>
      <c r="AN10" s="42">
        <v>411593365</v>
      </c>
      <c r="AO10" s="70">
        <v>313771236.39111197</v>
      </c>
      <c r="AP10" s="278">
        <v>2044371892.3993344</v>
      </c>
      <c r="AQ10" s="42">
        <v>280000000</v>
      </c>
      <c r="AR10" s="42">
        <v>804484013</v>
      </c>
      <c r="AS10" s="42">
        <v>485500000</v>
      </c>
      <c r="AT10" s="42">
        <v>641444722</v>
      </c>
      <c r="AU10" s="42">
        <v>472263000</v>
      </c>
      <c r="AV10" s="42"/>
      <c r="AW10" s="42">
        <v>1436233100</v>
      </c>
      <c r="AX10" s="42">
        <v>719568000</v>
      </c>
      <c r="AY10" s="42">
        <v>489227305</v>
      </c>
      <c r="AZ10" s="42">
        <v>465622000</v>
      </c>
      <c r="BA10" s="42">
        <v>384284675</v>
      </c>
      <c r="BB10" s="70">
        <v>339401127.62302297</v>
      </c>
      <c r="BC10" s="42">
        <v>2251652611.3197069</v>
      </c>
      <c r="BD10" s="42">
        <v>280000000</v>
      </c>
      <c r="BE10" s="42">
        <v>857528458</v>
      </c>
      <c r="BF10" s="42">
        <v>558400000</v>
      </c>
      <c r="BG10" s="42">
        <v>652362799</v>
      </c>
      <c r="BH10" s="42">
        <v>580900000</v>
      </c>
      <c r="BI10" s="42"/>
      <c r="BJ10" s="42">
        <v>1600792195</v>
      </c>
      <c r="BK10" s="42">
        <v>850789000</v>
      </c>
      <c r="BL10" s="42">
        <v>564362001</v>
      </c>
      <c r="BM10" s="42">
        <v>472962282.57999998</v>
      </c>
      <c r="BN10" s="42">
        <v>443703668</v>
      </c>
      <c r="BO10" s="42">
        <v>436496812.38519704</v>
      </c>
    </row>
    <row r="11" spans="1:67" x14ac:dyDescent="0.2">
      <c r="A11" s="109">
        <v>8</v>
      </c>
      <c r="B11" s="281" t="s">
        <v>17</v>
      </c>
      <c r="C11" s="42">
        <v>117000000</v>
      </c>
      <c r="D11" s="42">
        <v>0</v>
      </c>
      <c r="E11" s="42">
        <v>0</v>
      </c>
      <c r="F11" s="42">
        <v>49300000</v>
      </c>
      <c r="G11" s="42"/>
      <c r="H11" s="42">
        <v>0</v>
      </c>
      <c r="I11" s="42"/>
      <c r="J11" s="42"/>
      <c r="K11" s="277"/>
      <c r="L11" s="42">
        <v>73000000</v>
      </c>
      <c r="M11" s="42"/>
      <c r="N11" s="42"/>
      <c r="O11" s="70">
        <v>36000000</v>
      </c>
      <c r="P11" s="278">
        <v>117000000</v>
      </c>
      <c r="Q11" s="42">
        <v>0</v>
      </c>
      <c r="R11" s="42">
        <v>0</v>
      </c>
      <c r="S11" s="280">
        <v>59400000</v>
      </c>
      <c r="T11" s="42">
        <v>50963243</v>
      </c>
      <c r="U11" s="42">
        <v>0</v>
      </c>
      <c r="V11" s="42"/>
      <c r="W11" s="42">
        <v>480593400</v>
      </c>
      <c r="X11" s="42"/>
      <c r="Y11" s="42">
        <v>74000000</v>
      </c>
      <c r="Z11" s="42"/>
      <c r="AA11" s="42"/>
      <c r="AB11" s="70">
        <v>50874000</v>
      </c>
      <c r="AC11" s="278">
        <v>117000000</v>
      </c>
      <c r="AD11" s="42">
        <v>0</v>
      </c>
      <c r="AE11" s="42">
        <v>0</v>
      </c>
      <c r="AF11" s="42">
        <v>38500000</v>
      </c>
      <c r="AG11" s="42">
        <v>56092800</v>
      </c>
      <c r="AH11" s="42">
        <v>0</v>
      </c>
      <c r="AI11" s="42"/>
      <c r="AJ11" s="42">
        <v>346300000</v>
      </c>
      <c r="AK11" s="42"/>
      <c r="AL11" s="42">
        <v>863448032</v>
      </c>
      <c r="AM11" s="42"/>
      <c r="AN11" s="42"/>
      <c r="AO11" s="70">
        <v>58115000</v>
      </c>
      <c r="AP11" s="278">
        <v>117000000</v>
      </c>
      <c r="AQ11" s="42">
        <v>0</v>
      </c>
      <c r="AR11" s="42">
        <v>0</v>
      </c>
      <c r="AS11" s="42">
        <v>38900000</v>
      </c>
      <c r="AT11" s="42">
        <v>60389278</v>
      </c>
      <c r="AU11" s="42">
        <v>0</v>
      </c>
      <c r="AV11" s="42"/>
      <c r="AW11" s="42">
        <v>318300000</v>
      </c>
      <c r="AX11" s="42"/>
      <c r="AY11" s="42">
        <v>77375000</v>
      </c>
      <c r="AZ11" s="42"/>
      <c r="BA11" s="42"/>
      <c r="BB11" s="70">
        <v>89300000</v>
      </c>
      <c r="BC11" s="42">
        <v>145400000</v>
      </c>
      <c r="BD11" s="42">
        <v>0</v>
      </c>
      <c r="BE11" s="42">
        <v>0</v>
      </c>
      <c r="BF11" s="42">
        <v>43400000</v>
      </c>
      <c r="BG11" s="42">
        <v>83880419</v>
      </c>
      <c r="BH11" s="42">
        <v>0</v>
      </c>
      <c r="BI11" s="42"/>
      <c r="BJ11" s="42">
        <v>366600000</v>
      </c>
      <c r="BK11" s="42"/>
      <c r="BL11" s="42">
        <v>80725000</v>
      </c>
      <c r="BM11" s="42"/>
      <c r="BN11" s="42"/>
      <c r="BO11" s="42">
        <v>112500000</v>
      </c>
    </row>
    <row r="12" spans="1:67" x14ac:dyDescent="0.2">
      <c r="A12" s="109">
        <v>9</v>
      </c>
      <c r="B12" s="281" t="s">
        <v>18</v>
      </c>
      <c r="C12" s="42">
        <v>256088080.5</v>
      </c>
      <c r="D12" s="42">
        <v>0</v>
      </c>
      <c r="E12" s="42">
        <v>0</v>
      </c>
      <c r="F12" s="42">
        <v>0</v>
      </c>
      <c r="G12" s="42"/>
      <c r="H12" s="42">
        <v>49042165</v>
      </c>
      <c r="I12" s="42"/>
      <c r="J12" s="42"/>
      <c r="K12" s="277"/>
      <c r="L12" s="42">
        <v>5411182</v>
      </c>
      <c r="M12" s="42"/>
      <c r="N12" s="42"/>
      <c r="O12" s="70">
        <v>9100000</v>
      </c>
      <c r="P12" s="278">
        <v>273678564</v>
      </c>
      <c r="Q12" s="42">
        <v>0</v>
      </c>
      <c r="R12" s="42">
        <v>62700000</v>
      </c>
      <c r="S12" s="280">
        <v>0</v>
      </c>
      <c r="T12" s="42">
        <v>81900000</v>
      </c>
      <c r="U12" s="42">
        <v>63852801</v>
      </c>
      <c r="V12" s="42"/>
      <c r="W12" s="42">
        <v>357800000</v>
      </c>
      <c r="X12" s="42"/>
      <c r="Y12" s="42">
        <v>51745241</v>
      </c>
      <c r="Z12" s="42">
        <v>93300000</v>
      </c>
      <c r="AA12" s="42"/>
      <c r="AB12" s="70">
        <v>91500000</v>
      </c>
      <c r="AC12" s="278">
        <v>314186703</v>
      </c>
      <c r="AD12" s="42">
        <v>0</v>
      </c>
      <c r="AE12" s="42">
        <v>85200000</v>
      </c>
      <c r="AF12" s="42">
        <v>5400000</v>
      </c>
      <c r="AG12" s="42">
        <v>67100000</v>
      </c>
      <c r="AH12" s="42">
        <v>69315902</v>
      </c>
      <c r="AI12" s="42"/>
      <c r="AJ12" s="42">
        <v>382612000</v>
      </c>
      <c r="AK12" s="42"/>
      <c r="AL12" s="42">
        <v>14852422</v>
      </c>
      <c r="AM12" s="42">
        <v>35640000</v>
      </c>
      <c r="AN12" s="42"/>
      <c r="AO12" s="70">
        <v>64700000</v>
      </c>
      <c r="AP12" s="278">
        <v>310129000</v>
      </c>
      <c r="AQ12" s="42">
        <v>0</v>
      </c>
      <c r="AR12" s="42">
        <v>15800000</v>
      </c>
      <c r="AS12" s="42">
        <v>3800000</v>
      </c>
      <c r="AT12" s="42">
        <v>30489000</v>
      </c>
      <c r="AU12" s="42">
        <v>76479505</v>
      </c>
      <c r="AV12" s="42"/>
      <c r="AW12" s="42">
        <v>173737000</v>
      </c>
      <c r="AX12" s="42"/>
      <c r="AY12" s="42">
        <v>45450342</v>
      </c>
      <c r="AZ12" s="42">
        <v>54179000</v>
      </c>
      <c r="BA12" s="42"/>
      <c r="BB12" s="70">
        <v>18600000</v>
      </c>
      <c r="BC12" s="42">
        <v>281926000</v>
      </c>
      <c r="BD12" s="42">
        <v>0</v>
      </c>
      <c r="BE12" s="42">
        <v>0</v>
      </c>
      <c r="BF12" s="42">
        <v>10300000</v>
      </c>
      <c r="BG12" s="42">
        <v>20300000</v>
      </c>
      <c r="BH12" s="42">
        <v>89982232</v>
      </c>
      <c r="BI12" s="42"/>
      <c r="BJ12" s="42">
        <v>0</v>
      </c>
      <c r="BK12" s="42"/>
      <c r="BL12" s="42">
        <v>20020665</v>
      </c>
      <c r="BM12" s="42"/>
      <c r="BN12" s="42"/>
      <c r="BO12" s="42">
        <v>3600000</v>
      </c>
    </row>
    <row r="13" spans="1:67" x14ac:dyDescent="0.2">
      <c r="A13" s="109">
        <v>10</v>
      </c>
      <c r="B13" s="281" t="s">
        <v>29</v>
      </c>
      <c r="C13" s="42">
        <f>SUM(C10:C12)</f>
        <v>1509975816.214293</v>
      </c>
      <c r="D13" s="42">
        <f t="shared" ref="D13:Z13" si="0">SUM(D10:D12)</f>
        <v>230000000</v>
      </c>
      <c r="E13" s="42">
        <f t="shared" si="0"/>
        <v>709600000</v>
      </c>
      <c r="F13" s="42">
        <v>459100000</v>
      </c>
      <c r="G13" s="42"/>
      <c r="H13" s="42">
        <f t="shared" si="0"/>
        <v>483342163</v>
      </c>
      <c r="I13" s="42"/>
      <c r="J13" s="42"/>
      <c r="K13" s="277">
        <f t="shared" si="0"/>
        <v>675495000</v>
      </c>
      <c r="L13" s="42">
        <f t="shared" si="0"/>
        <v>519396182</v>
      </c>
      <c r="M13" s="42">
        <f>SUM(M10:M12)</f>
        <v>378070000</v>
      </c>
      <c r="N13" s="42">
        <f>SUM(N10:N12)</f>
        <v>319235312</v>
      </c>
      <c r="O13" s="70">
        <f>SUM(O10:O12)</f>
        <v>292368516.193573</v>
      </c>
      <c r="P13" s="278">
        <f t="shared" si="0"/>
        <v>2549285318.8376379</v>
      </c>
      <c r="Q13" s="42">
        <f t="shared" si="0"/>
        <v>230000000</v>
      </c>
      <c r="R13" s="42">
        <f t="shared" si="0"/>
        <v>767062600</v>
      </c>
      <c r="S13" s="280">
        <v>510200000</v>
      </c>
      <c r="T13" s="42">
        <f t="shared" si="0"/>
        <v>751370445</v>
      </c>
      <c r="U13" s="42">
        <f t="shared" si="0"/>
        <v>520068784</v>
      </c>
      <c r="V13" s="42"/>
      <c r="W13" s="42">
        <f>SUM(W10:W12)</f>
        <v>2265185333</v>
      </c>
      <c r="X13" s="42">
        <f t="shared" si="0"/>
        <v>698493000</v>
      </c>
      <c r="Y13" s="42">
        <f t="shared" si="0"/>
        <v>596397229</v>
      </c>
      <c r="Z13" s="42">
        <f t="shared" si="0"/>
        <v>571601000</v>
      </c>
      <c r="AA13" s="42">
        <f t="shared" ref="AA13:AY13" si="1">SUM(AA10:AA12)</f>
        <v>393000337</v>
      </c>
      <c r="AB13" s="70">
        <f t="shared" si="1"/>
        <v>435822951.19461805</v>
      </c>
      <c r="AC13" s="278">
        <f t="shared" si="1"/>
        <v>2710362065.9699669</v>
      </c>
      <c r="AD13" s="42">
        <f t="shared" si="1"/>
        <v>235000000</v>
      </c>
      <c r="AE13" s="42">
        <f t="shared" si="1"/>
        <v>785312334</v>
      </c>
      <c r="AF13" s="42">
        <v>465700000</v>
      </c>
      <c r="AG13" s="42">
        <f t="shared" si="1"/>
        <v>736083294</v>
      </c>
      <c r="AH13" s="42">
        <f t="shared" si="1"/>
        <v>531415902</v>
      </c>
      <c r="AI13" s="42"/>
      <c r="AJ13" s="42">
        <f t="shared" si="1"/>
        <v>2161259772</v>
      </c>
      <c r="AK13" s="42">
        <f t="shared" si="1"/>
        <v>709697000</v>
      </c>
      <c r="AL13" s="42">
        <f t="shared" si="1"/>
        <v>897940357</v>
      </c>
      <c r="AM13" s="42">
        <f t="shared" si="1"/>
        <v>460118000</v>
      </c>
      <c r="AN13" s="42">
        <f t="shared" si="1"/>
        <v>411593365</v>
      </c>
      <c r="AO13" s="70">
        <f t="shared" si="1"/>
        <v>436586236.39111197</v>
      </c>
      <c r="AP13" s="278">
        <f t="shared" si="1"/>
        <v>2471500892.3993344</v>
      </c>
      <c r="AQ13" s="42">
        <f t="shared" si="1"/>
        <v>280000000</v>
      </c>
      <c r="AR13" s="42">
        <f t="shared" si="1"/>
        <v>820284013</v>
      </c>
      <c r="AS13" s="42">
        <v>528200000</v>
      </c>
      <c r="AT13" s="42">
        <f t="shared" si="1"/>
        <v>732323000</v>
      </c>
      <c r="AU13" s="42">
        <f t="shared" si="1"/>
        <v>548742505</v>
      </c>
      <c r="AV13" s="42"/>
      <c r="AW13" s="42">
        <f>SUM(AW10:AW12)</f>
        <v>1928270100</v>
      </c>
      <c r="AX13" s="42">
        <f t="shared" si="1"/>
        <v>719568000</v>
      </c>
      <c r="AY13" s="42">
        <f t="shared" si="1"/>
        <v>612052647</v>
      </c>
      <c r="AZ13" s="42">
        <f>SUM(AZ10:AZ12)</f>
        <v>519801000</v>
      </c>
      <c r="BA13" s="42">
        <f>SUM(BA10:BA12)</f>
        <v>384284675</v>
      </c>
      <c r="BB13" s="42">
        <f>SUM(BB10:BB12)</f>
        <v>447301127.62302297</v>
      </c>
      <c r="BC13" s="42">
        <f t="shared" ref="BC13:BM13" si="2">SUM(BC10:BC12)</f>
        <v>2678978611.3197069</v>
      </c>
      <c r="BD13" s="42">
        <f t="shared" si="2"/>
        <v>280000000</v>
      </c>
      <c r="BE13" s="42">
        <f t="shared" si="2"/>
        <v>857528458</v>
      </c>
      <c r="BF13" s="42">
        <v>612100000</v>
      </c>
      <c r="BG13" s="42">
        <f t="shared" si="2"/>
        <v>756543218</v>
      </c>
      <c r="BH13" s="42">
        <f t="shared" si="2"/>
        <v>670882232</v>
      </c>
      <c r="BI13" s="42"/>
      <c r="BJ13" s="42">
        <f>SUM(BJ10:BJ12)</f>
        <v>1967392195</v>
      </c>
      <c r="BK13" s="42">
        <f t="shared" si="2"/>
        <v>850789000</v>
      </c>
      <c r="BL13" s="42">
        <f t="shared" si="2"/>
        <v>665107666</v>
      </c>
      <c r="BM13" s="42">
        <f t="shared" si="2"/>
        <v>472962282.57999998</v>
      </c>
      <c r="BN13" s="42">
        <f>SUM(BN10:BN12)</f>
        <v>443703668</v>
      </c>
      <c r="BO13" s="42">
        <f>SUM(BO10:BO12)</f>
        <v>552596812.38519704</v>
      </c>
    </row>
    <row r="14" spans="1:67" x14ac:dyDescent="0.2">
      <c r="A14" s="109">
        <v>11</v>
      </c>
      <c r="B14" s="282" t="s">
        <v>19</v>
      </c>
      <c r="C14" s="42">
        <v>1919654463.1557207</v>
      </c>
      <c r="D14" s="42">
        <v>0</v>
      </c>
      <c r="E14" s="42">
        <v>262899999.99999997</v>
      </c>
      <c r="F14" s="42">
        <v>153200000</v>
      </c>
      <c r="G14" s="42"/>
      <c r="H14" s="42">
        <v>191542654</v>
      </c>
      <c r="I14" s="42"/>
      <c r="J14" s="42"/>
      <c r="K14" s="277">
        <v>469263941.07142854</v>
      </c>
      <c r="L14" s="42">
        <v>196466052</v>
      </c>
      <c r="M14" s="42">
        <v>250847580</v>
      </c>
      <c r="N14" s="42">
        <v>181757952</v>
      </c>
      <c r="O14" s="70">
        <v>241575000</v>
      </c>
      <c r="P14" s="278">
        <v>1201617737.6712289</v>
      </c>
      <c r="Q14" s="42">
        <v>0</v>
      </c>
      <c r="R14" s="42">
        <v>194400000</v>
      </c>
      <c r="S14" s="280">
        <v>114500000</v>
      </c>
      <c r="T14" s="42">
        <v>155599356.1111111</v>
      </c>
      <c r="U14" s="42">
        <v>93815239</v>
      </c>
      <c r="V14" s="42"/>
      <c r="W14" s="42">
        <v>546476351</v>
      </c>
      <c r="X14" s="42">
        <v>297476395.53571427</v>
      </c>
      <c r="Y14" s="42">
        <v>154917438</v>
      </c>
      <c r="Z14" s="42">
        <v>163455017</v>
      </c>
      <c r="AA14" s="42">
        <v>116334517</v>
      </c>
      <c r="AB14" s="70">
        <v>173099000</v>
      </c>
      <c r="AC14" s="278">
        <v>1203162164.7814217</v>
      </c>
      <c r="AD14" s="42"/>
      <c r="AE14" s="42">
        <v>223405300</v>
      </c>
      <c r="AF14" s="42">
        <v>139200000</v>
      </c>
      <c r="AG14" s="42">
        <v>182744147.3255814</v>
      </c>
      <c r="AH14" s="42">
        <v>106252639</v>
      </c>
      <c r="AI14" s="42"/>
      <c r="AJ14" s="42">
        <v>617526194</v>
      </c>
      <c r="AK14" s="42">
        <v>288046549.10714281</v>
      </c>
      <c r="AL14" s="42">
        <v>165810684</v>
      </c>
      <c r="AM14" s="42">
        <v>188969631</v>
      </c>
      <c r="AN14" s="42">
        <v>127883247</v>
      </c>
      <c r="AO14" s="70">
        <v>169200000</v>
      </c>
      <c r="AP14" s="278">
        <v>1709226080.1612437</v>
      </c>
      <c r="AQ14" s="42"/>
      <c r="AR14" s="42">
        <v>273777503</v>
      </c>
      <c r="AS14" s="42">
        <v>179800000</v>
      </c>
      <c r="AT14" s="42">
        <v>221133746.64285713</v>
      </c>
      <c r="AU14" s="42">
        <v>163256985</v>
      </c>
      <c r="AV14" s="42"/>
      <c r="AW14" s="42">
        <v>754249713</v>
      </c>
      <c r="AX14" s="42">
        <v>444297596.4285714</v>
      </c>
      <c r="AY14" s="42">
        <v>191754722</v>
      </c>
      <c r="AZ14" s="42">
        <v>207515538</v>
      </c>
      <c r="BA14" s="42">
        <v>162443986</v>
      </c>
      <c r="BB14" s="70">
        <v>210598000</v>
      </c>
      <c r="BC14" s="42">
        <v>1999474470.2956238</v>
      </c>
      <c r="BD14" s="42">
        <v>12500000</v>
      </c>
      <c r="BE14" s="42">
        <v>301899397</v>
      </c>
      <c r="BF14" s="42">
        <v>195800000</v>
      </c>
      <c r="BG14" s="42">
        <v>244585325.35714284</v>
      </c>
      <c r="BH14" s="42">
        <v>184546987</v>
      </c>
      <c r="BI14" s="42"/>
      <c r="BJ14" s="42">
        <v>807289329</v>
      </c>
      <c r="BK14" s="42">
        <v>532748398.21428567</v>
      </c>
      <c r="BL14" s="42">
        <v>215630910</v>
      </c>
      <c r="BM14" s="42">
        <v>238674308</v>
      </c>
      <c r="BN14" s="42">
        <v>186327887</v>
      </c>
      <c r="BO14" s="42">
        <v>259116000</v>
      </c>
    </row>
    <row r="15" spans="1:67" x14ac:dyDescent="0.2">
      <c r="A15" s="109">
        <v>12</v>
      </c>
      <c r="B15" s="281" t="s">
        <v>20</v>
      </c>
      <c r="C15" s="42">
        <v>3489014279.3700137</v>
      </c>
      <c r="D15" s="42">
        <v>231000616</v>
      </c>
      <c r="E15" s="42">
        <v>942500000</v>
      </c>
      <c r="F15" s="42">
        <v>562400000</v>
      </c>
      <c r="G15" s="42"/>
      <c r="H15" s="42">
        <v>750205967</v>
      </c>
      <c r="I15" s="42"/>
      <c r="J15" s="42"/>
      <c r="K15" s="277">
        <v>1144655322</v>
      </c>
      <c r="L15" s="42">
        <v>661215494</v>
      </c>
      <c r="M15" s="42">
        <v>636324584</v>
      </c>
      <c r="N15" s="42">
        <v>504027736</v>
      </c>
      <c r="O15" s="70">
        <v>587387516.193573</v>
      </c>
      <c r="P15" s="278">
        <v>3789849456.7734113</v>
      </c>
      <c r="Q15" s="42">
        <v>229713355</v>
      </c>
      <c r="R15" s="42">
        <v>920000000</v>
      </c>
      <c r="S15" s="280">
        <v>573000000</v>
      </c>
      <c r="T15" s="42">
        <v>837579379.44444442</v>
      </c>
      <c r="U15" s="42">
        <v>718316914</v>
      </c>
      <c r="V15" s="42"/>
      <c r="W15" s="42">
        <v>2321934378</v>
      </c>
      <c r="X15" s="42">
        <v>1326681893</v>
      </c>
      <c r="Y15" s="42">
        <v>689452956</v>
      </c>
      <c r="Z15" s="42">
        <v>613521080</v>
      </c>
      <c r="AA15" s="42">
        <v>503258593</v>
      </c>
      <c r="AB15" s="70">
        <v>663322951.19461799</v>
      </c>
      <c r="AC15" s="278">
        <v>3979700548.011642</v>
      </c>
      <c r="AD15" s="42">
        <v>235507166</v>
      </c>
      <c r="AE15" s="42">
        <v>973373577</v>
      </c>
      <c r="AF15" s="42">
        <v>556600000</v>
      </c>
      <c r="AG15" s="42">
        <v>868931773.9069767</v>
      </c>
      <c r="AH15" s="42">
        <v>732934566</v>
      </c>
      <c r="AI15" s="42"/>
      <c r="AJ15" s="42">
        <v>2326926942</v>
      </c>
      <c r="AK15" s="42">
        <v>1226246682</v>
      </c>
      <c r="AL15" s="42">
        <v>706862000</v>
      </c>
      <c r="AM15" s="42">
        <v>634789065</v>
      </c>
      <c r="AN15" s="42">
        <v>536800881</v>
      </c>
      <c r="AO15" s="70">
        <v>659735236.39111209</v>
      </c>
      <c r="AP15" s="278">
        <v>4239924878.8724942</v>
      </c>
      <c r="AQ15" s="42">
        <v>280597262</v>
      </c>
      <c r="AR15" s="42">
        <v>1016969187</v>
      </c>
      <c r="AS15" s="42">
        <v>663200000</v>
      </c>
      <c r="AT15" s="42">
        <v>918000460.32142854</v>
      </c>
      <c r="AU15" s="42">
        <v>817981706</v>
      </c>
      <c r="AV15" s="42"/>
      <c r="AW15" s="42">
        <v>2336882677</v>
      </c>
      <c r="AX15" s="42">
        <v>1413676387</v>
      </c>
      <c r="AY15" s="42">
        <v>744912279</v>
      </c>
      <c r="AZ15" s="42">
        <v>679857473</v>
      </c>
      <c r="BA15" s="42">
        <v>587191428</v>
      </c>
      <c r="BB15" s="70">
        <v>713884127.62302303</v>
      </c>
      <c r="BC15" s="42">
        <v>4730482107.5007524</v>
      </c>
      <c r="BD15" s="42">
        <v>287585757</v>
      </c>
      <c r="BE15" s="42">
        <v>1110715077</v>
      </c>
      <c r="BF15" s="42">
        <v>769700000</v>
      </c>
      <c r="BG15" s="42">
        <v>1003885786.6071428</v>
      </c>
      <c r="BH15" s="42">
        <v>912333684</v>
      </c>
      <c r="BI15" s="42"/>
      <c r="BJ15" s="42">
        <v>2583992509</v>
      </c>
      <c r="BK15" s="42">
        <v>1519459391</v>
      </c>
      <c r="BL15" s="42">
        <v>785691511</v>
      </c>
      <c r="BM15" s="42">
        <v>727308324</v>
      </c>
      <c r="BN15" s="42">
        <v>657634257</v>
      </c>
      <c r="BO15" s="42">
        <v>821019812.38519704</v>
      </c>
    </row>
    <row r="16" spans="1:67" x14ac:dyDescent="0.2">
      <c r="A16" s="109">
        <v>13</v>
      </c>
      <c r="B16" s="282" t="s">
        <v>21</v>
      </c>
      <c r="C16" s="42">
        <v>0</v>
      </c>
      <c r="D16" s="42">
        <v>0</v>
      </c>
      <c r="E16" s="42">
        <v>109800000</v>
      </c>
      <c r="F16" s="42">
        <v>49900000</v>
      </c>
      <c r="G16" s="42"/>
      <c r="H16" s="42">
        <v>5290</v>
      </c>
      <c r="I16" s="42"/>
      <c r="J16" s="42"/>
      <c r="K16" s="277">
        <v>51896000</v>
      </c>
      <c r="L16" s="139">
        <v>229</v>
      </c>
      <c r="M16" s="42">
        <v>4313277.92</v>
      </c>
      <c r="O16" s="70">
        <v>0</v>
      </c>
      <c r="P16" s="278">
        <v>0</v>
      </c>
      <c r="Q16" s="42">
        <v>0</v>
      </c>
      <c r="R16" s="42">
        <v>77400000</v>
      </c>
      <c r="S16" s="280">
        <v>51700000</v>
      </c>
      <c r="T16" s="42">
        <v>37622196</v>
      </c>
      <c r="U16" s="42">
        <v>2262</v>
      </c>
      <c r="V16" s="42"/>
      <c r="W16" s="42">
        <v>153141006</v>
      </c>
      <c r="X16" s="42">
        <v>55329000</v>
      </c>
      <c r="Y16" s="42">
        <v>119202</v>
      </c>
      <c r="Z16" s="42">
        <v>8634265</v>
      </c>
      <c r="AA16" s="42"/>
      <c r="AB16" s="70">
        <v>0</v>
      </c>
      <c r="AC16" s="278">
        <v>0</v>
      </c>
      <c r="AD16" s="42">
        <v>0</v>
      </c>
      <c r="AE16" s="42">
        <v>85778052</v>
      </c>
      <c r="AF16" s="42">
        <v>48300000</v>
      </c>
      <c r="AG16" s="42">
        <v>42462486</v>
      </c>
      <c r="AH16" s="42">
        <v>342</v>
      </c>
      <c r="AI16" s="42"/>
      <c r="AJ16" s="42">
        <v>175416531</v>
      </c>
      <c r="AK16" s="42">
        <v>86913000</v>
      </c>
      <c r="AL16" s="42">
        <v>22585888.449999999</v>
      </c>
      <c r="AM16" s="42">
        <v>5298198</v>
      </c>
      <c r="AN16" s="42"/>
      <c r="AO16" s="70">
        <v>0</v>
      </c>
      <c r="AP16" s="278">
        <v>0</v>
      </c>
      <c r="AQ16" s="42">
        <v>0</v>
      </c>
      <c r="AR16" s="42">
        <v>92859672</v>
      </c>
      <c r="AS16" s="42">
        <v>44800000</v>
      </c>
      <c r="AT16" s="42">
        <v>43891815</v>
      </c>
      <c r="AU16" s="42">
        <v>6584</v>
      </c>
      <c r="AV16" s="42"/>
      <c r="AW16" s="42">
        <v>194404750</v>
      </c>
      <c r="AX16" s="42">
        <v>111208000</v>
      </c>
      <c r="AY16" s="42">
        <v>15470</v>
      </c>
      <c r="AZ16" s="42">
        <v>7762466</v>
      </c>
      <c r="BA16" s="42"/>
      <c r="BB16" s="70">
        <v>0</v>
      </c>
      <c r="BC16" s="42">
        <v>0</v>
      </c>
      <c r="BD16" s="42">
        <v>0</v>
      </c>
      <c r="BE16" s="42">
        <v>86124846</v>
      </c>
      <c r="BF16" s="42">
        <v>38200000</v>
      </c>
      <c r="BG16" s="42">
        <v>56420115</v>
      </c>
      <c r="BH16" s="42">
        <v>5946</v>
      </c>
      <c r="BI16" s="42"/>
      <c r="BJ16" s="42">
        <v>219920609</v>
      </c>
      <c r="BK16" s="42">
        <v>155831000</v>
      </c>
      <c r="BL16" s="42">
        <v>169403</v>
      </c>
      <c r="BM16" s="42">
        <v>7683800</v>
      </c>
      <c r="BN16" s="42"/>
      <c r="BO16" s="42">
        <v>0</v>
      </c>
    </row>
    <row r="17" spans="1:67" x14ac:dyDescent="0.2">
      <c r="A17" s="109">
        <v>14</v>
      </c>
      <c r="B17" s="282" t="s">
        <v>22</v>
      </c>
      <c r="C17" s="42">
        <v>3489014279.3700099</v>
      </c>
      <c r="D17" s="42">
        <v>231000616</v>
      </c>
      <c r="E17" s="42">
        <v>1052300000</v>
      </c>
      <c r="F17" s="42">
        <v>612300000</v>
      </c>
      <c r="G17" s="42"/>
      <c r="H17" s="42">
        <v>750211257</v>
      </c>
      <c r="I17" s="42"/>
      <c r="J17" s="42"/>
      <c r="K17" s="277">
        <v>1196551322</v>
      </c>
      <c r="L17" s="42">
        <v>661215723</v>
      </c>
      <c r="M17" s="42">
        <v>640637861.91999996</v>
      </c>
      <c r="N17" s="42">
        <f>SUM(N15:N16)</f>
        <v>504027736</v>
      </c>
      <c r="O17" s="70">
        <v>587387516.193573</v>
      </c>
      <c r="P17" s="278">
        <v>3789849456.7734113</v>
      </c>
      <c r="Q17" s="42">
        <v>229713355</v>
      </c>
      <c r="R17" s="42">
        <v>997400000</v>
      </c>
      <c r="S17" s="280">
        <v>624700000</v>
      </c>
      <c r="T17" s="42">
        <v>875201575.44444442</v>
      </c>
      <c r="U17" s="42">
        <v>718319176</v>
      </c>
      <c r="V17" s="42"/>
      <c r="W17" s="42">
        <v>2475075384</v>
      </c>
      <c r="X17" s="42">
        <v>1382010893</v>
      </c>
      <c r="Y17" s="42">
        <v>689572158</v>
      </c>
      <c r="Z17" s="42">
        <v>622155345</v>
      </c>
      <c r="AA17" s="42">
        <f>SUM(AA15:AA16)</f>
        <v>503258593</v>
      </c>
      <c r="AB17" s="70">
        <v>663322951.19461799</v>
      </c>
      <c r="AC17" s="278">
        <v>3979700548.011642</v>
      </c>
      <c r="AD17" s="42">
        <v>235507166</v>
      </c>
      <c r="AE17" s="42">
        <v>1059151629</v>
      </c>
      <c r="AF17" s="42">
        <v>604900000</v>
      </c>
      <c r="AG17" s="42">
        <v>911394259.9069767</v>
      </c>
      <c r="AH17" s="42">
        <v>732934908</v>
      </c>
      <c r="AI17" s="42"/>
      <c r="AJ17" s="42">
        <v>2502343473</v>
      </c>
      <c r="AK17" s="42">
        <v>1313159682</v>
      </c>
      <c r="AL17" s="42">
        <v>729447888.45000005</v>
      </c>
      <c r="AM17" s="42">
        <v>640087263</v>
      </c>
      <c r="AN17" s="42">
        <f>SUM(AN15:AN16)</f>
        <v>536800881</v>
      </c>
      <c r="AO17" s="70">
        <v>659735236.39111209</v>
      </c>
      <c r="AP17" s="278">
        <v>4239924878.8724942</v>
      </c>
      <c r="AQ17" s="42">
        <v>280597262</v>
      </c>
      <c r="AR17" s="42">
        <v>1109828859</v>
      </c>
      <c r="AS17" s="42">
        <v>708000000</v>
      </c>
      <c r="AT17" s="42">
        <v>961892275.32142854</v>
      </c>
      <c r="AU17" s="42">
        <v>817988290</v>
      </c>
      <c r="AV17" s="42"/>
      <c r="AW17" s="42">
        <v>2531287427</v>
      </c>
      <c r="AX17" s="42">
        <v>1524884387</v>
      </c>
      <c r="AY17" s="42">
        <v>744927749</v>
      </c>
      <c r="AZ17" s="42">
        <v>687619939</v>
      </c>
      <c r="BA17" s="42">
        <f>SUM(BA15:BA16)</f>
        <v>587191428</v>
      </c>
      <c r="BB17" s="70">
        <v>713884127.62302303</v>
      </c>
      <c r="BC17" s="42">
        <v>4730482107.5007524</v>
      </c>
      <c r="BD17" s="42">
        <v>287585757</v>
      </c>
      <c r="BE17" s="42">
        <v>1196839923</v>
      </c>
      <c r="BF17" s="42">
        <v>807900000.00000012</v>
      </c>
      <c r="BG17" s="42">
        <v>1060305901.6071428</v>
      </c>
      <c r="BH17" s="42">
        <v>912339630</v>
      </c>
      <c r="BI17" s="42"/>
      <c r="BJ17" s="42">
        <v>2803913118</v>
      </c>
      <c r="BK17" s="42">
        <v>1675290391</v>
      </c>
      <c r="BL17" s="42">
        <v>785860914</v>
      </c>
      <c r="BM17" s="42">
        <v>734992124</v>
      </c>
      <c r="BN17" s="42">
        <f>SUM(BN15:BN16)</f>
        <v>657634257</v>
      </c>
      <c r="BO17" s="42">
        <v>821019812.38519704</v>
      </c>
    </row>
    <row r="18" spans="1:67" s="271" customFormat="1" x14ac:dyDescent="0.2">
      <c r="A18" s="271">
        <v>15</v>
      </c>
      <c r="B18" s="272" t="s">
        <v>88</v>
      </c>
      <c r="C18" s="139">
        <f>SUM(C19:C25)</f>
        <v>1203</v>
      </c>
      <c r="D18" s="139">
        <v>133</v>
      </c>
      <c r="E18" s="139" t="s">
        <v>104</v>
      </c>
      <c r="F18" s="139">
        <v>266</v>
      </c>
      <c r="G18" s="139"/>
      <c r="H18" s="139">
        <v>313</v>
      </c>
      <c r="I18" s="139">
        <f>SUM(I19:I25)</f>
        <v>438</v>
      </c>
      <c r="J18" s="139"/>
      <c r="K18" s="293">
        <f>SUM(K19:K29)</f>
        <v>615</v>
      </c>
      <c r="L18" s="293">
        <f>SUM(L19:L25)</f>
        <v>435</v>
      </c>
      <c r="M18" s="139">
        <v>318</v>
      </c>
      <c r="N18" s="139" t="s">
        <v>104</v>
      </c>
      <c r="O18" s="283" t="s">
        <v>103</v>
      </c>
      <c r="P18" s="294">
        <f>P19+P20+P25</f>
        <v>1251</v>
      </c>
      <c r="Q18" s="139">
        <v>133</v>
      </c>
      <c r="R18" s="139">
        <f>SUM(R19:R25)</f>
        <v>594</v>
      </c>
      <c r="S18" s="139">
        <v>274</v>
      </c>
      <c r="T18" s="139">
        <f>T19+T20+T25</f>
        <v>276</v>
      </c>
      <c r="U18" s="139">
        <f>SUM(U19:U25)</f>
        <v>333</v>
      </c>
      <c r="V18" s="139">
        <f>SUM(V19:V25)</f>
        <v>491</v>
      </c>
      <c r="W18" s="139">
        <v>1009</v>
      </c>
      <c r="X18" s="139">
        <f>SUM(X19:X29)</f>
        <v>615</v>
      </c>
      <c r="Y18" s="139">
        <f>SUM(Y19:Y29)</f>
        <v>449</v>
      </c>
      <c r="Z18" s="139">
        <v>318</v>
      </c>
      <c r="AA18" s="139"/>
      <c r="AB18" s="283"/>
      <c r="AC18" s="294">
        <f>SUM(AC19:AC25)</f>
        <v>1236</v>
      </c>
      <c r="AD18" s="139">
        <v>133</v>
      </c>
      <c r="AE18" s="139">
        <f>SUM(AE19:AE25)</f>
        <v>600</v>
      </c>
      <c r="AF18" s="139">
        <v>289</v>
      </c>
      <c r="AG18" s="139">
        <f>AG19+AG20+AG25</f>
        <v>276</v>
      </c>
      <c r="AH18" s="139">
        <f>SUM(AH19:AH25)</f>
        <v>327</v>
      </c>
      <c r="AI18" s="139">
        <f>SUM(AI19:AI25)</f>
        <v>483</v>
      </c>
      <c r="AJ18" s="139">
        <f>AJ20+AJ25</f>
        <v>1106</v>
      </c>
      <c r="AK18" s="139">
        <f>SUM(AK19:AK25)</f>
        <v>834</v>
      </c>
      <c r="AL18" s="139">
        <f>SUM(AL19:AL25)</f>
        <v>428</v>
      </c>
      <c r="AM18" s="139">
        <f>SUM(AM19:AM25)</f>
        <v>329</v>
      </c>
      <c r="AN18" s="139"/>
      <c r="AO18" s="283"/>
      <c r="AP18" s="273">
        <f>SUM(AP19:AP25)</f>
        <v>1272</v>
      </c>
      <c r="AQ18" s="274">
        <v>133</v>
      </c>
      <c r="AR18" s="274">
        <f t="shared" ref="AR18:AZ18" si="3">SUM(AR19:AR25)</f>
        <v>590</v>
      </c>
      <c r="AS18" s="274">
        <f t="shared" si="3"/>
        <v>329</v>
      </c>
      <c r="AT18" s="274">
        <f t="shared" si="3"/>
        <v>277</v>
      </c>
      <c r="AU18" s="274">
        <f t="shared" si="3"/>
        <v>320</v>
      </c>
      <c r="AV18" s="274">
        <f t="shared" si="3"/>
        <v>480</v>
      </c>
      <c r="AW18" s="274">
        <f t="shared" si="3"/>
        <v>1079</v>
      </c>
      <c r="AX18" s="274">
        <f t="shared" si="3"/>
        <v>833</v>
      </c>
      <c r="AY18" s="274">
        <f t="shared" si="3"/>
        <v>438</v>
      </c>
      <c r="AZ18" s="274">
        <f t="shared" si="3"/>
        <v>325</v>
      </c>
      <c r="BA18" s="139"/>
      <c r="BB18" s="283"/>
      <c r="BC18" s="139">
        <f t="shared" ref="BC18:BM18" si="4">SUM(BC19:BC25)</f>
        <v>1289</v>
      </c>
      <c r="BD18" s="139">
        <f t="shared" si="4"/>
        <v>170</v>
      </c>
      <c r="BE18" s="139">
        <f t="shared" si="4"/>
        <v>590</v>
      </c>
      <c r="BF18" s="139">
        <f t="shared" si="4"/>
        <v>532</v>
      </c>
      <c r="BG18" s="139">
        <f t="shared" si="4"/>
        <v>281</v>
      </c>
      <c r="BH18" s="139">
        <f t="shared" si="4"/>
        <v>322</v>
      </c>
      <c r="BI18" s="139">
        <f t="shared" si="4"/>
        <v>480</v>
      </c>
      <c r="BJ18" s="139">
        <f t="shared" si="4"/>
        <v>1138</v>
      </c>
      <c r="BK18" s="139">
        <f t="shared" si="4"/>
        <v>834</v>
      </c>
      <c r="BL18" s="139">
        <f t="shared" si="4"/>
        <v>438</v>
      </c>
      <c r="BM18" s="139">
        <f t="shared" si="4"/>
        <v>341</v>
      </c>
      <c r="BN18" s="139"/>
      <c r="BO18" s="139"/>
    </row>
    <row r="19" spans="1:67" ht="12.75" x14ac:dyDescent="0.2">
      <c r="A19" s="109">
        <v>16</v>
      </c>
      <c r="B19" s="282" t="s">
        <v>89</v>
      </c>
      <c r="C19" s="42">
        <v>317</v>
      </c>
      <c r="D19" s="42">
        <v>28</v>
      </c>
      <c r="F19" s="42">
        <v>177</v>
      </c>
      <c r="G19" s="42"/>
      <c r="H19" s="42">
        <v>146</v>
      </c>
      <c r="I19" s="42">
        <v>49</v>
      </c>
      <c r="J19" s="42"/>
      <c r="K19" s="277"/>
      <c r="L19" s="42">
        <v>60</v>
      </c>
      <c r="N19" s="139"/>
      <c r="O19" s="283"/>
      <c r="P19" s="278">
        <v>97</v>
      </c>
      <c r="Q19" s="42">
        <v>28</v>
      </c>
      <c r="R19" s="42">
        <v>172</v>
      </c>
      <c r="S19" s="42">
        <v>98</v>
      </c>
      <c r="T19" s="42">
        <v>28</v>
      </c>
      <c r="U19" s="42">
        <v>146</v>
      </c>
      <c r="V19" s="42">
        <v>19</v>
      </c>
      <c r="W19" s="42"/>
      <c r="X19" s="42"/>
      <c r="Y19" s="109">
        <v>71</v>
      </c>
      <c r="Z19" s="42"/>
      <c r="AA19" s="42"/>
      <c r="AB19" s="70"/>
      <c r="AC19" s="278">
        <v>91</v>
      </c>
      <c r="AD19" s="139">
        <v>28</v>
      </c>
      <c r="AE19" s="42">
        <v>138</v>
      </c>
      <c r="AF19" s="42">
        <v>78</v>
      </c>
      <c r="AG19" s="42">
        <v>28</v>
      </c>
      <c r="AH19" s="42">
        <v>80</v>
      </c>
      <c r="AI19" s="42">
        <v>0</v>
      </c>
      <c r="AJ19" s="42"/>
      <c r="AK19" s="109">
        <v>30</v>
      </c>
      <c r="AL19" s="42">
        <v>56</v>
      </c>
      <c r="AM19" s="42"/>
      <c r="AN19" s="42"/>
      <c r="AO19" s="70"/>
      <c r="AP19" s="284">
        <v>22</v>
      </c>
      <c r="AQ19" s="42">
        <v>28</v>
      </c>
      <c r="AR19" s="42">
        <v>126</v>
      </c>
      <c r="AS19" s="42">
        <v>208</v>
      </c>
      <c r="AT19" s="42">
        <v>28</v>
      </c>
      <c r="AU19" s="42">
        <v>76</v>
      </c>
      <c r="AV19" s="42">
        <v>0</v>
      </c>
      <c r="AW19" s="42"/>
      <c r="AX19" s="109">
        <v>30</v>
      </c>
      <c r="AY19" s="109">
        <v>19</v>
      </c>
      <c r="AZ19" s="42"/>
      <c r="BA19" s="42"/>
      <c r="BB19" s="70"/>
      <c r="BC19" s="42">
        <v>26</v>
      </c>
      <c r="BD19" s="42">
        <v>0</v>
      </c>
      <c r="BE19" s="285">
        <v>126</v>
      </c>
      <c r="BF19" s="42">
        <v>122</v>
      </c>
      <c r="BG19" s="42">
        <v>27</v>
      </c>
      <c r="BH19" s="42">
        <v>6</v>
      </c>
      <c r="BI19" s="109">
        <v>0</v>
      </c>
      <c r="BJ19" s="42"/>
      <c r="BK19" s="42">
        <v>30</v>
      </c>
      <c r="BL19" s="42">
        <v>23</v>
      </c>
      <c r="BM19" s="42"/>
      <c r="BN19" s="42"/>
      <c r="BO19" s="42"/>
    </row>
    <row r="20" spans="1:67" ht="12.75" x14ac:dyDescent="0.2">
      <c r="A20" s="109">
        <v>17</v>
      </c>
      <c r="B20" s="282" t="s">
        <v>90</v>
      </c>
      <c r="C20" s="42">
        <v>771</v>
      </c>
      <c r="D20" s="42">
        <v>95</v>
      </c>
      <c r="F20" s="42">
        <v>89</v>
      </c>
      <c r="G20" s="42"/>
      <c r="H20" s="42">
        <v>134</v>
      </c>
      <c r="I20" s="42">
        <v>386</v>
      </c>
      <c r="J20" s="42"/>
      <c r="K20" s="277"/>
      <c r="L20" s="42">
        <v>344</v>
      </c>
      <c r="M20" s="42">
        <v>318</v>
      </c>
      <c r="N20" s="139"/>
      <c r="O20" s="283"/>
      <c r="P20" s="278">
        <v>998</v>
      </c>
      <c r="Q20" s="42">
        <v>95</v>
      </c>
      <c r="R20" s="42">
        <v>382</v>
      </c>
      <c r="S20" s="42">
        <v>176</v>
      </c>
      <c r="T20" s="42">
        <v>247</v>
      </c>
      <c r="U20" s="42">
        <v>134</v>
      </c>
      <c r="V20" s="42">
        <v>455</v>
      </c>
      <c r="W20" s="139">
        <v>1009</v>
      </c>
      <c r="X20" s="42"/>
      <c r="Y20" s="42">
        <v>345</v>
      </c>
      <c r="Z20" s="42">
        <v>318</v>
      </c>
      <c r="AA20" s="42"/>
      <c r="AB20" s="70"/>
      <c r="AC20" s="278">
        <v>989</v>
      </c>
      <c r="AD20" s="139">
        <v>95</v>
      </c>
      <c r="AE20" s="42">
        <v>416</v>
      </c>
      <c r="AF20" s="42">
        <v>211</v>
      </c>
      <c r="AG20" s="42">
        <v>247</v>
      </c>
      <c r="AH20" s="42">
        <v>195</v>
      </c>
      <c r="AI20" s="42">
        <v>466</v>
      </c>
      <c r="AJ20" s="42">
        <v>978</v>
      </c>
      <c r="AK20" s="109">
        <v>768</v>
      </c>
      <c r="AL20" s="42">
        <v>341</v>
      </c>
      <c r="AM20" s="42">
        <v>319</v>
      </c>
      <c r="AN20" s="42"/>
      <c r="AO20" s="70"/>
      <c r="AP20" s="284">
        <v>985</v>
      </c>
      <c r="AQ20" s="42">
        <v>95</v>
      </c>
      <c r="AR20" s="42">
        <v>416</v>
      </c>
      <c r="AS20" s="42">
        <v>81</v>
      </c>
      <c r="AT20" s="42">
        <v>248</v>
      </c>
      <c r="AU20" s="42">
        <v>192</v>
      </c>
      <c r="AV20" s="42">
        <v>449</v>
      </c>
      <c r="AW20" s="42">
        <v>961</v>
      </c>
      <c r="AX20" s="109">
        <v>767</v>
      </c>
      <c r="AY20" s="42">
        <v>401</v>
      </c>
      <c r="AZ20" s="42">
        <v>315</v>
      </c>
      <c r="BA20" s="42"/>
      <c r="BB20" s="70"/>
      <c r="BC20" s="42">
        <v>815</v>
      </c>
      <c r="BD20" s="42">
        <v>140</v>
      </c>
      <c r="BE20" s="285">
        <v>416</v>
      </c>
      <c r="BF20" s="42">
        <v>308</v>
      </c>
      <c r="BG20" s="42">
        <v>251</v>
      </c>
      <c r="BH20" s="42">
        <v>168</v>
      </c>
      <c r="BI20" s="109">
        <v>449</v>
      </c>
      <c r="BJ20" s="42">
        <v>1020</v>
      </c>
      <c r="BK20" s="42">
        <v>767</v>
      </c>
      <c r="BL20" s="42">
        <v>397</v>
      </c>
      <c r="BM20" s="42">
        <v>331</v>
      </c>
      <c r="BN20" s="42"/>
      <c r="BO20" s="42"/>
    </row>
    <row r="21" spans="1:67" ht="12.75" x14ac:dyDescent="0.2">
      <c r="A21" s="109">
        <v>18</v>
      </c>
      <c r="B21" s="282" t="s">
        <v>106</v>
      </c>
      <c r="C21" s="42"/>
      <c r="D21" s="42"/>
      <c r="F21" s="42"/>
      <c r="G21" s="42"/>
      <c r="H21" s="42">
        <v>27</v>
      </c>
      <c r="I21" s="42"/>
      <c r="J21" s="42"/>
      <c r="K21" s="277"/>
      <c r="L21" s="42"/>
      <c r="M21" s="42"/>
      <c r="N21" s="139"/>
      <c r="O21" s="283"/>
      <c r="P21" s="278"/>
      <c r="Q21" s="42"/>
      <c r="R21" s="42"/>
      <c r="S21" s="42"/>
      <c r="T21" s="139"/>
      <c r="U21" s="42">
        <v>27</v>
      </c>
      <c r="V21" s="42"/>
      <c r="W21" s="42"/>
      <c r="X21" s="42"/>
      <c r="Y21" s="42"/>
      <c r="Z21" s="42"/>
      <c r="AA21" s="42"/>
      <c r="AB21" s="70"/>
      <c r="AC21" s="278"/>
      <c r="AD21" s="42"/>
      <c r="AE21" s="42"/>
      <c r="AF21" s="42"/>
      <c r="AG21" s="42"/>
      <c r="AH21" s="42">
        <v>13</v>
      </c>
      <c r="AI21" s="42"/>
      <c r="AJ21" s="42"/>
      <c r="AL21" s="42"/>
      <c r="AM21" s="42"/>
      <c r="AN21" s="42"/>
      <c r="AO21" s="70"/>
      <c r="AP21" s="284"/>
      <c r="AQ21" s="42"/>
      <c r="AR21" s="42"/>
      <c r="AS21" s="42"/>
      <c r="AT21" s="42"/>
      <c r="AU21" s="42">
        <v>13</v>
      </c>
      <c r="AV21" s="42"/>
      <c r="AW21" s="42"/>
      <c r="AY21" s="42"/>
      <c r="AZ21" s="42"/>
      <c r="BA21" s="42"/>
      <c r="BB21" s="70"/>
      <c r="BC21" s="42"/>
      <c r="BD21" s="42"/>
      <c r="BE21" s="285"/>
      <c r="BF21" s="42"/>
      <c r="BG21" s="42"/>
      <c r="BH21" s="42"/>
      <c r="BJ21" s="42"/>
      <c r="BK21" s="42"/>
      <c r="BL21" s="42"/>
      <c r="BM21" s="42"/>
      <c r="BN21" s="42"/>
      <c r="BO21" s="42"/>
    </row>
    <row r="22" spans="1:67" ht="12.75" x14ac:dyDescent="0.2">
      <c r="A22" s="109">
        <v>19</v>
      </c>
      <c r="B22" s="285" t="s">
        <v>102</v>
      </c>
      <c r="C22" s="42"/>
      <c r="D22" s="42"/>
      <c r="F22" s="42"/>
      <c r="G22" s="42"/>
      <c r="H22" s="42">
        <v>6</v>
      </c>
      <c r="I22" s="42"/>
      <c r="J22" s="42"/>
      <c r="K22" s="277"/>
      <c r="L22" s="42">
        <v>8</v>
      </c>
      <c r="M22" s="42"/>
      <c r="N22" s="139"/>
      <c r="O22" s="283"/>
      <c r="P22" s="278"/>
      <c r="Q22" s="42"/>
      <c r="R22" s="42">
        <v>38</v>
      </c>
      <c r="S22" s="42"/>
      <c r="T22" s="42"/>
      <c r="U22" s="42">
        <v>6</v>
      </c>
      <c r="V22" s="42"/>
      <c r="W22" s="42"/>
      <c r="X22" s="42"/>
      <c r="Y22" s="42">
        <v>9</v>
      </c>
      <c r="Z22" s="42"/>
      <c r="AA22" s="42"/>
      <c r="AB22" s="70"/>
      <c r="AC22" s="278"/>
      <c r="AD22" s="42"/>
      <c r="AE22" s="42">
        <v>24</v>
      </c>
      <c r="AF22" s="42"/>
      <c r="AG22" s="42"/>
      <c r="AH22" s="42"/>
      <c r="AI22" s="42"/>
      <c r="AJ22" s="42"/>
      <c r="AL22" s="42">
        <v>8</v>
      </c>
      <c r="AM22" s="42"/>
      <c r="AN22" s="42"/>
      <c r="AO22" s="70"/>
      <c r="AP22" s="284"/>
      <c r="AQ22" s="42"/>
      <c r="AR22" s="42">
        <v>13</v>
      </c>
      <c r="AS22" s="42"/>
      <c r="AT22" s="42"/>
      <c r="AV22" s="42"/>
      <c r="AW22" s="42"/>
      <c r="AY22" s="42"/>
      <c r="AZ22" s="42"/>
      <c r="BA22" s="42"/>
      <c r="BB22" s="70"/>
      <c r="BC22" s="42"/>
      <c r="BD22" s="42"/>
      <c r="BE22" s="285">
        <f>2+6+5</f>
        <v>13</v>
      </c>
      <c r="BF22" s="42"/>
      <c r="BG22" s="42"/>
      <c r="BH22" s="42">
        <v>9</v>
      </c>
      <c r="BJ22" s="42"/>
      <c r="BK22" s="42"/>
      <c r="BL22" s="42"/>
      <c r="BM22" s="42"/>
      <c r="BN22" s="42"/>
      <c r="BO22" s="42"/>
    </row>
    <row r="23" spans="1:67" ht="12.75" x14ac:dyDescent="0.2">
      <c r="A23" s="109">
        <v>20</v>
      </c>
      <c r="B23" s="285" t="s">
        <v>105</v>
      </c>
      <c r="C23" s="42"/>
      <c r="D23" s="42"/>
      <c r="F23" s="42"/>
      <c r="G23" s="42"/>
      <c r="H23" s="42"/>
      <c r="I23" s="42"/>
      <c r="J23" s="42"/>
      <c r="K23" s="277"/>
      <c r="L23" s="42">
        <v>17</v>
      </c>
      <c r="M23" s="42"/>
      <c r="N23" s="139"/>
      <c r="O23" s="283"/>
      <c r="P23" s="278"/>
      <c r="Q23" s="42"/>
      <c r="R23" s="42"/>
      <c r="S23" s="42"/>
      <c r="T23" s="42"/>
      <c r="U23" s="42"/>
      <c r="V23" s="42"/>
      <c r="W23" s="42"/>
      <c r="X23" s="42"/>
      <c r="Y23" s="42">
        <v>13</v>
      </c>
      <c r="Z23" s="42"/>
      <c r="AA23" s="42"/>
      <c r="AB23" s="70"/>
      <c r="AC23" s="278"/>
      <c r="AD23" s="42"/>
      <c r="AE23" s="42"/>
      <c r="AF23" s="42"/>
      <c r="AG23" s="42"/>
      <c r="AH23" s="42"/>
      <c r="AI23" s="42"/>
      <c r="AJ23" s="42"/>
      <c r="AL23" s="42">
        <v>12</v>
      </c>
      <c r="AM23" s="42"/>
      <c r="AN23" s="42"/>
      <c r="AO23" s="70"/>
      <c r="AP23" s="284"/>
      <c r="AQ23" s="42"/>
      <c r="AR23" s="42"/>
      <c r="AS23" s="42"/>
      <c r="AT23" s="42"/>
      <c r="AU23" s="42"/>
      <c r="AV23" s="42"/>
      <c r="AW23" s="42"/>
      <c r="AY23" s="42"/>
      <c r="AZ23" s="42"/>
      <c r="BA23" s="42"/>
      <c r="BB23" s="70"/>
      <c r="BC23" s="42"/>
      <c r="BD23" s="42"/>
      <c r="BE23" s="285"/>
      <c r="BF23" s="42"/>
      <c r="BG23" s="42"/>
      <c r="BH23" s="42"/>
      <c r="BJ23" s="42"/>
      <c r="BK23" s="42"/>
      <c r="BL23" s="42"/>
      <c r="BM23" s="42"/>
      <c r="BN23" s="42"/>
      <c r="BO23" s="42"/>
    </row>
    <row r="24" spans="1:67" ht="12.75" x14ac:dyDescent="0.2">
      <c r="A24" s="109">
        <v>21</v>
      </c>
      <c r="B24" s="282" t="s">
        <v>91</v>
      </c>
      <c r="C24" s="42"/>
      <c r="D24" s="42"/>
      <c r="F24" s="42"/>
      <c r="G24" s="42"/>
      <c r="H24" s="42"/>
      <c r="I24" s="42">
        <v>0</v>
      </c>
      <c r="J24" s="42"/>
      <c r="K24" s="277">
        <v>0</v>
      </c>
      <c r="L24" s="42"/>
      <c r="M24" s="42"/>
      <c r="N24" s="139"/>
      <c r="O24" s="283"/>
      <c r="P24" s="278"/>
      <c r="Q24" s="42"/>
      <c r="R24" s="42"/>
      <c r="S24" s="42"/>
      <c r="T24" s="42"/>
      <c r="U24" s="42"/>
      <c r="V24" s="42">
        <v>0</v>
      </c>
      <c r="W24" s="42">
        <v>0</v>
      </c>
      <c r="X24" s="42">
        <v>0</v>
      </c>
      <c r="Y24" s="42"/>
      <c r="Z24" s="42"/>
      <c r="AA24" s="42"/>
      <c r="AB24" s="70"/>
      <c r="AC24" s="278"/>
      <c r="AD24" s="42"/>
      <c r="AE24" s="42"/>
      <c r="AF24" s="42"/>
      <c r="AG24" s="42"/>
      <c r="AH24" s="42"/>
      <c r="AI24" s="42">
        <v>0</v>
      </c>
      <c r="AJ24" s="42">
        <v>0</v>
      </c>
      <c r="AK24" s="109">
        <v>0</v>
      </c>
      <c r="AL24" s="42"/>
      <c r="AM24" s="42"/>
      <c r="AN24" s="42"/>
      <c r="AO24" s="70"/>
      <c r="AP24" s="284"/>
      <c r="AQ24" s="42"/>
      <c r="AR24" s="42"/>
      <c r="AS24" s="42"/>
      <c r="AT24" s="42"/>
      <c r="AU24" s="42"/>
      <c r="AV24" s="42">
        <v>0</v>
      </c>
      <c r="AW24" s="42">
        <v>0</v>
      </c>
      <c r="AX24" s="109">
        <v>0</v>
      </c>
      <c r="AY24" s="42"/>
      <c r="AZ24" s="42"/>
      <c r="BA24" s="42"/>
      <c r="BB24" s="70"/>
      <c r="BC24" s="42"/>
      <c r="BD24" s="42"/>
      <c r="BE24" s="285"/>
      <c r="BF24" s="42"/>
      <c r="BG24" s="42"/>
      <c r="BH24" s="42"/>
      <c r="BI24" s="109">
        <v>0</v>
      </c>
      <c r="BJ24" s="42">
        <v>0</v>
      </c>
      <c r="BK24" s="42">
        <v>0</v>
      </c>
      <c r="BL24" s="42"/>
      <c r="BM24" s="42"/>
      <c r="BN24" s="42"/>
      <c r="BO24" s="42"/>
    </row>
    <row r="25" spans="1:67" ht="12.75" x14ac:dyDescent="0.2">
      <c r="A25" s="109">
        <v>22</v>
      </c>
      <c r="B25" s="282" t="s">
        <v>92</v>
      </c>
      <c r="C25" s="42">
        <v>115</v>
      </c>
      <c r="D25" s="42"/>
      <c r="F25" s="42"/>
      <c r="G25" s="42"/>
      <c r="H25" s="42"/>
      <c r="I25" s="42">
        <v>3</v>
      </c>
      <c r="J25" s="42"/>
      <c r="K25" s="277">
        <v>36</v>
      </c>
      <c r="L25" s="42">
        <v>6</v>
      </c>
      <c r="M25" s="42"/>
      <c r="N25" s="139"/>
      <c r="O25" s="283"/>
      <c r="P25" s="278">
        <v>156</v>
      </c>
      <c r="Q25" s="42"/>
      <c r="R25" s="42">
        <v>2</v>
      </c>
      <c r="S25" s="42"/>
      <c r="T25" s="42">
        <v>1</v>
      </c>
      <c r="U25" s="42">
        <v>20</v>
      </c>
      <c r="V25" s="42">
        <v>17</v>
      </c>
      <c r="W25" s="42">
        <v>114</v>
      </c>
      <c r="X25" s="42">
        <v>36</v>
      </c>
      <c r="Y25" s="42">
        <v>11</v>
      </c>
      <c r="Z25" s="42"/>
      <c r="AA25" s="42"/>
      <c r="AB25" s="70"/>
      <c r="AC25" s="278">
        <v>156</v>
      </c>
      <c r="AD25" s="42"/>
      <c r="AE25" s="42">
        <v>22</v>
      </c>
      <c r="AF25" s="42"/>
      <c r="AG25" s="42">
        <v>1</v>
      </c>
      <c r="AH25" s="42">
        <v>39</v>
      </c>
      <c r="AI25" s="42">
        <v>17</v>
      </c>
      <c r="AJ25" s="42">
        <v>128</v>
      </c>
      <c r="AK25" s="109">
        <v>36</v>
      </c>
      <c r="AL25" s="42">
        <v>11</v>
      </c>
      <c r="AM25" s="42">
        <v>10</v>
      </c>
      <c r="AN25" s="42"/>
      <c r="AO25" s="70"/>
      <c r="AP25" s="284">
        <v>265</v>
      </c>
      <c r="AQ25" s="42"/>
      <c r="AR25" s="42">
        <v>35</v>
      </c>
      <c r="AS25" s="42">
        <v>40</v>
      </c>
      <c r="AT25" s="42">
        <v>1</v>
      </c>
      <c r="AU25" s="42">
        <v>39</v>
      </c>
      <c r="AV25" s="42">
        <v>31</v>
      </c>
      <c r="AW25" s="42">
        <v>118</v>
      </c>
      <c r="AX25" s="109">
        <v>36</v>
      </c>
      <c r="AY25" s="42">
        <v>18</v>
      </c>
      <c r="AZ25" s="42">
        <v>10</v>
      </c>
      <c r="BA25" s="42"/>
      <c r="BB25" s="70"/>
      <c r="BC25" s="42">
        <v>448</v>
      </c>
      <c r="BD25" s="42">
        <v>30</v>
      </c>
      <c r="BE25" s="285">
        <v>35</v>
      </c>
      <c r="BF25" s="42">
        <v>102</v>
      </c>
      <c r="BG25" s="42">
        <v>3</v>
      </c>
      <c r="BH25" s="42">
        <v>139</v>
      </c>
      <c r="BI25" s="109">
        <v>31</v>
      </c>
      <c r="BJ25" s="42">
        <v>118</v>
      </c>
      <c r="BK25" s="42">
        <v>37</v>
      </c>
      <c r="BL25" s="42">
        <v>18</v>
      </c>
      <c r="BM25" s="42">
        <v>10</v>
      </c>
      <c r="BN25" s="42"/>
      <c r="BO25" s="42"/>
    </row>
    <row r="26" spans="1:67" x14ac:dyDescent="0.2">
      <c r="A26" s="109">
        <v>23</v>
      </c>
      <c r="B26" s="282" t="s">
        <v>93</v>
      </c>
      <c r="C26" s="42">
        <v>163</v>
      </c>
      <c r="D26" s="42"/>
      <c r="E26" s="42"/>
      <c r="F26" s="42">
        <v>141</v>
      </c>
      <c r="G26" s="42"/>
      <c r="H26" s="42"/>
      <c r="I26" s="42">
        <v>16</v>
      </c>
      <c r="J26" s="42"/>
      <c r="K26" s="277">
        <v>113</v>
      </c>
      <c r="L26" s="42"/>
      <c r="M26" s="42"/>
      <c r="N26" s="139"/>
      <c r="O26" s="283"/>
      <c r="P26" s="278">
        <v>140</v>
      </c>
      <c r="Q26" s="42"/>
      <c r="R26" s="42"/>
      <c r="S26" s="42">
        <v>145</v>
      </c>
      <c r="T26" s="42">
        <v>97</v>
      </c>
      <c r="U26" s="42"/>
      <c r="V26" s="42">
        <v>0</v>
      </c>
      <c r="W26" s="42">
        <v>144</v>
      </c>
      <c r="X26" s="42">
        <v>113</v>
      </c>
      <c r="Y26" s="42"/>
      <c r="Z26" s="42"/>
      <c r="AA26" s="42"/>
      <c r="AB26" s="70"/>
      <c r="AC26" s="278">
        <v>138</v>
      </c>
      <c r="AD26" s="42"/>
      <c r="AE26" s="42"/>
      <c r="AF26" s="42">
        <v>143</v>
      </c>
      <c r="AG26" s="42">
        <v>97</v>
      </c>
      <c r="AH26" s="42"/>
      <c r="AI26" s="42">
        <v>0</v>
      </c>
      <c r="AJ26" s="42">
        <v>152</v>
      </c>
      <c r="AK26" s="109">
        <v>113</v>
      </c>
      <c r="AL26" s="42"/>
      <c r="AM26" s="42"/>
      <c r="AN26" s="42"/>
      <c r="AO26" s="70"/>
      <c r="AP26" s="284">
        <v>116</v>
      </c>
      <c r="AQ26" s="42"/>
      <c r="AR26" s="42"/>
      <c r="AS26" s="42">
        <v>142</v>
      </c>
      <c r="AT26" s="42">
        <v>97</v>
      </c>
      <c r="AU26" s="42"/>
      <c r="AV26" s="42">
        <v>0</v>
      </c>
      <c r="AW26" s="42">
        <v>153</v>
      </c>
      <c r="AX26" s="109">
        <v>126</v>
      </c>
      <c r="AY26" s="42"/>
      <c r="AZ26" s="42"/>
      <c r="BA26" s="42"/>
      <c r="BB26" s="70"/>
      <c r="BC26" s="42">
        <v>69</v>
      </c>
      <c r="BD26" s="42"/>
      <c r="BF26" s="42">
        <v>223</v>
      </c>
      <c r="BG26" s="42">
        <v>97</v>
      </c>
      <c r="BH26" s="42"/>
      <c r="BI26" s="109">
        <v>0</v>
      </c>
      <c r="BJ26" s="42">
        <v>153</v>
      </c>
      <c r="BK26" s="42">
        <v>126</v>
      </c>
      <c r="BL26" s="42"/>
      <c r="BM26" s="42"/>
      <c r="BN26" s="42"/>
      <c r="BO26" s="42"/>
    </row>
    <row r="27" spans="1:67" x14ac:dyDescent="0.2">
      <c r="A27" s="109">
        <v>24</v>
      </c>
      <c r="B27" s="282" t="s">
        <v>94</v>
      </c>
      <c r="C27" s="42"/>
      <c r="D27" s="42"/>
      <c r="E27" s="42"/>
      <c r="F27" s="42">
        <v>125</v>
      </c>
      <c r="G27" s="42"/>
      <c r="H27" s="42"/>
      <c r="I27" s="42"/>
      <c r="J27" s="42"/>
      <c r="K27" s="277">
        <v>85</v>
      </c>
      <c r="L27" s="42"/>
      <c r="M27" s="42"/>
      <c r="N27" s="139"/>
      <c r="O27" s="283"/>
      <c r="P27" s="278"/>
      <c r="Q27" s="42">
        <v>133</v>
      </c>
      <c r="R27" s="42"/>
      <c r="S27" s="42">
        <v>129</v>
      </c>
      <c r="T27" s="42">
        <v>18</v>
      </c>
      <c r="U27" s="42"/>
      <c r="V27" s="42"/>
      <c r="W27" s="42">
        <v>0</v>
      </c>
      <c r="X27" s="42">
        <v>85</v>
      </c>
      <c r="Y27" s="42"/>
      <c r="Z27" s="42"/>
      <c r="AA27" s="42"/>
      <c r="AB27" s="70"/>
      <c r="AC27" s="278"/>
      <c r="AD27" s="42">
        <v>133</v>
      </c>
      <c r="AE27" s="42"/>
      <c r="AF27" s="42">
        <v>146</v>
      </c>
      <c r="AG27" s="42">
        <v>18</v>
      </c>
      <c r="AH27" s="42"/>
      <c r="AI27" s="42"/>
      <c r="AJ27" s="42">
        <v>80</v>
      </c>
      <c r="AK27" s="109">
        <v>85</v>
      </c>
      <c r="AL27" s="42"/>
      <c r="AM27" s="42"/>
      <c r="AN27" s="42"/>
      <c r="AO27" s="70"/>
      <c r="AP27" s="284"/>
      <c r="AQ27" s="42">
        <v>133</v>
      </c>
      <c r="AR27" s="42"/>
      <c r="AS27" s="42">
        <v>107</v>
      </c>
      <c r="AT27" s="42">
        <v>18</v>
      </c>
      <c r="AU27" s="42"/>
      <c r="AV27" s="42"/>
      <c r="AW27" s="42">
        <v>0</v>
      </c>
      <c r="AX27" s="109">
        <v>104</v>
      </c>
      <c r="AY27" s="42"/>
      <c r="AZ27" s="42"/>
      <c r="BA27" s="42"/>
      <c r="BB27" s="70"/>
      <c r="BC27" s="42"/>
      <c r="BD27" s="42"/>
      <c r="BE27" s="42"/>
      <c r="BF27" s="42">
        <v>105</v>
      </c>
      <c r="BG27" s="42">
        <v>18</v>
      </c>
      <c r="BH27" s="42"/>
      <c r="BI27" s="42"/>
      <c r="BJ27" s="42">
        <v>0</v>
      </c>
      <c r="BK27" s="42">
        <v>104</v>
      </c>
      <c r="BL27" s="42"/>
      <c r="BM27" s="42"/>
      <c r="BN27" s="42"/>
      <c r="BO27" s="42"/>
    </row>
    <row r="28" spans="1:67" x14ac:dyDescent="0.2">
      <c r="A28" s="109">
        <v>25</v>
      </c>
      <c r="B28" s="282" t="s">
        <v>95</v>
      </c>
      <c r="C28" s="42"/>
      <c r="D28" s="42"/>
      <c r="E28" s="42"/>
      <c r="F28" s="42"/>
      <c r="G28" s="42"/>
      <c r="H28" s="42"/>
      <c r="I28" s="42"/>
      <c r="J28" s="42"/>
      <c r="K28" s="277">
        <v>58</v>
      </c>
      <c r="L28" s="42"/>
      <c r="M28" s="42"/>
      <c r="N28" s="139"/>
      <c r="O28" s="283"/>
      <c r="P28" s="278"/>
      <c r="Q28" s="42"/>
      <c r="R28" s="42"/>
      <c r="S28" s="42"/>
      <c r="T28" s="42"/>
      <c r="U28" s="42"/>
      <c r="V28" s="42"/>
      <c r="W28" s="42">
        <v>352</v>
      </c>
      <c r="X28" s="42">
        <v>58</v>
      </c>
      <c r="Y28" s="42"/>
      <c r="Z28" s="42"/>
      <c r="AA28" s="42"/>
      <c r="AB28" s="70"/>
      <c r="AC28" s="278"/>
      <c r="AD28" s="42"/>
      <c r="AE28" s="42"/>
      <c r="AF28" s="42"/>
      <c r="AG28" s="42"/>
      <c r="AH28" s="42"/>
      <c r="AI28" s="42"/>
      <c r="AJ28" s="42">
        <v>252</v>
      </c>
      <c r="AK28" s="109">
        <v>58</v>
      </c>
      <c r="AL28" s="42"/>
      <c r="AM28" s="42"/>
      <c r="AN28" s="42"/>
      <c r="AO28" s="70"/>
      <c r="AP28" s="284"/>
      <c r="AQ28" s="42"/>
      <c r="AR28" s="42"/>
      <c r="AS28" s="42"/>
      <c r="AT28" s="42"/>
      <c r="AU28" s="42"/>
      <c r="AV28" s="42"/>
      <c r="AW28" s="42">
        <v>236</v>
      </c>
      <c r="AX28" s="109">
        <v>58</v>
      </c>
      <c r="AY28" s="42"/>
      <c r="AZ28" s="42"/>
      <c r="BA28" s="42"/>
      <c r="BB28" s="70"/>
      <c r="BC28" s="42"/>
      <c r="BD28" s="42"/>
      <c r="BE28" s="42"/>
      <c r="BF28" s="42"/>
      <c r="BG28" s="42"/>
      <c r="BH28" s="42"/>
      <c r="BI28" s="42"/>
      <c r="BJ28" s="42">
        <v>0</v>
      </c>
      <c r="BK28" s="42">
        <v>58</v>
      </c>
      <c r="BL28" s="42"/>
      <c r="BM28" s="42"/>
      <c r="BN28" s="42"/>
      <c r="BO28" s="42"/>
    </row>
    <row r="29" spans="1:67" x14ac:dyDescent="0.2">
      <c r="A29" s="109">
        <v>26</v>
      </c>
      <c r="B29" s="282" t="s">
        <v>96</v>
      </c>
      <c r="C29" s="42"/>
      <c r="D29" s="42">
        <v>133</v>
      </c>
      <c r="E29" s="42"/>
      <c r="F29" s="42"/>
      <c r="G29" s="42"/>
      <c r="H29" s="42"/>
      <c r="I29" s="42"/>
      <c r="J29" s="42"/>
      <c r="K29" s="277">
        <v>323</v>
      </c>
      <c r="L29" s="42"/>
      <c r="M29" s="42"/>
      <c r="N29" s="139"/>
      <c r="O29" s="283"/>
      <c r="P29" s="278"/>
      <c r="Q29" s="42"/>
      <c r="R29" s="42"/>
      <c r="S29" s="42"/>
      <c r="T29" s="42"/>
      <c r="U29" s="42"/>
      <c r="V29" s="42"/>
      <c r="W29" s="42">
        <v>399</v>
      </c>
      <c r="X29" s="42">
        <v>323</v>
      </c>
      <c r="Y29" s="42"/>
      <c r="Z29" s="42"/>
      <c r="AA29" s="42"/>
      <c r="AB29" s="70"/>
      <c r="AC29" s="278"/>
      <c r="AD29" s="42"/>
      <c r="AE29" s="42"/>
      <c r="AF29" s="42"/>
      <c r="AG29" s="42"/>
      <c r="AH29" s="42"/>
      <c r="AI29" s="42"/>
      <c r="AJ29" s="42">
        <v>366</v>
      </c>
      <c r="AK29" s="109">
        <v>323</v>
      </c>
      <c r="AL29" s="42"/>
      <c r="AM29" s="42"/>
      <c r="AN29" s="42"/>
      <c r="AO29" s="70"/>
      <c r="AP29" s="284"/>
      <c r="AQ29" s="42"/>
      <c r="AR29" s="42"/>
      <c r="AS29" s="42"/>
      <c r="AT29" s="42"/>
      <c r="AU29" s="42"/>
      <c r="AV29" s="42"/>
      <c r="AW29" s="42">
        <v>454</v>
      </c>
      <c r="AX29" s="109">
        <v>457</v>
      </c>
      <c r="AY29" s="42"/>
      <c r="AZ29" s="42"/>
      <c r="BA29" s="42"/>
      <c r="BB29" s="70"/>
      <c r="BC29" s="42"/>
      <c r="BD29" s="42">
        <v>110</v>
      </c>
      <c r="BE29" s="42"/>
      <c r="BF29" s="42"/>
      <c r="BG29" s="42"/>
      <c r="BH29" s="42"/>
      <c r="BI29" s="42"/>
      <c r="BJ29" s="42">
        <v>749</v>
      </c>
      <c r="BK29" s="42">
        <v>457</v>
      </c>
      <c r="BL29" s="42"/>
      <c r="BM29" s="42"/>
      <c r="BN29" s="42"/>
      <c r="BO29" s="42"/>
    </row>
    <row r="30" spans="1:67" x14ac:dyDescent="0.2">
      <c r="A30" s="109">
        <v>27</v>
      </c>
      <c r="B30" s="281" t="s">
        <v>24</v>
      </c>
      <c r="C30" s="42">
        <v>41295.000000000036</v>
      </c>
      <c r="D30" s="42">
        <v>6889</v>
      </c>
      <c r="E30" s="42">
        <v>9329</v>
      </c>
      <c r="F30" s="42">
        <v>3454</v>
      </c>
      <c r="G30" s="42"/>
      <c r="H30" s="42">
        <v>3382</v>
      </c>
      <c r="I30" s="42"/>
      <c r="J30" s="42"/>
      <c r="K30" s="277">
        <v>24547</v>
      </c>
      <c r="L30" s="42">
        <v>18021</v>
      </c>
      <c r="M30" s="42">
        <v>17667.278706000001</v>
      </c>
      <c r="N30" s="286">
        <v>13261</v>
      </c>
      <c r="O30" s="70"/>
      <c r="P30" s="278">
        <v>24041.780999999999</v>
      </c>
      <c r="Q30" s="42">
        <v>6512</v>
      </c>
      <c r="R30" s="42">
        <v>7227</v>
      </c>
      <c r="S30" s="42">
        <v>3046</v>
      </c>
      <c r="T30" s="42">
        <v>9972</v>
      </c>
      <c r="U30" s="42">
        <v>9687</v>
      </c>
      <c r="V30" s="42"/>
      <c r="W30" s="42">
        <v>27900</v>
      </c>
      <c r="X30" s="42">
        <v>21771</v>
      </c>
      <c r="Y30" s="42">
        <v>18527</v>
      </c>
      <c r="Z30" s="42">
        <v>17336.4702</v>
      </c>
      <c r="AA30" s="286">
        <v>12747</v>
      </c>
      <c r="AB30" s="287">
        <v>10466</v>
      </c>
      <c r="AC30" s="278">
        <v>17474.815999999999</v>
      </c>
      <c r="AD30" s="42">
        <v>6745</v>
      </c>
      <c r="AE30" s="42">
        <v>8154</v>
      </c>
      <c r="AF30" s="42">
        <v>3770</v>
      </c>
      <c r="AG30" s="42">
        <v>10984</v>
      </c>
      <c r="AH30" s="42">
        <v>14109</v>
      </c>
      <c r="AI30" s="42"/>
      <c r="AJ30" s="42">
        <v>18000</v>
      </c>
      <c r="AK30" s="42">
        <v>26815</v>
      </c>
      <c r="AL30" s="42">
        <v>14953</v>
      </c>
      <c r="AM30" s="42">
        <v>16574.646157700001</v>
      </c>
      <c r="AN30" s="286">
        <v>12936</v>
      </c>
      <c r="AO30" s="70">
        <v>12606</v>
      </c>
      <c r="AP30" s="278">
        <v>51444.188000000002</v>
      </c>
      <c r="AQ30" s="42">
        <v>6740</v>
      </c>
      <c r="AR30" s="42">
        <v>7831</v>
      </c>
      <c r="AS30" s="42">
        <v>3544</v>
      </c>
      <c r="AT30" s="42">
        <v>10521</v>
      </c>
      <c r="AU30" s="42">
        <v>14187</v>
      </c>
      <c r="AV30" s="42"/>
      <c r="AW30" s="42">
        <v>21100</v>
      </c>
      <c r="AX30" s="42">
        <v>31156</v>
      </c>
      <c r="AY30" s="42">
        <v>15303</v>
      </c>
      <c r="AZ30" s="42">
        <v>16757.803353000003</v>
      </c>
      <c r="BA30" s="286">
        <v>13708</v>
      </c>
      <c r="BB30" s="70">
        <v>13491</v>
      </c>
      <c r="BC30" s="42">
        <v>48132</v>
      </c>
      <c r="BD30" s="42">
        <v>6538</v>
      </c>
      <c r="BE30" s="42">
        <v>8209</v>
      </c>
      <c r="BF30" s="42">
        <v>3500</v>
      </c>
      <c r="BG30" s="42">
        <v>10747</v>
      </c>
      <c r="BH30" s="42">
        <v>11735</v>
      </c>
      <c r="BI30" s="42"/>
      <c r="BJ30" s="42">
        <v>35800</v>
      </c>
      <c r="BK30" s="42">
        <v>28550</v>
      </c>
      <c r="BL30" s="42">
        <v>15589</v>
      </c>
      <c r="BM30" s="42">
        <v>17047.480013</v>
      </c>
      <c r="BN30" s="280">
        <v>15530</v>
      </c>
      <c r="BO30" s="42">
        <v>13700</v>
      </c>
    </row>
    <row r="31" spans="1:67" x14ac:dyDescent="0.2">
      <c r="N31" s="286"/>
      <c r="O31" s="289"/>
      <c r="P31" s="290"/>
      <c r="AB31" s="287"/>
      <c r="AC31" s="296"/>
      <c r="AO31" s="287"/>
      <c r="AP31" s="296"/>
      <c r="BB31" s="287"/>
    </row>
    <row r="32" spans="1:67" x14ac:dyDescent="0.2">
      <c r="A32" s="109">
        <v>28</v>
      </c>
      <c r="B32" s="275" t="s">
        <v>37</v>
      </c>
      <c r="N32" s="286"/>
      <c r="O32" s="289"/>
      <c r="P32" s="290"/>
      <c r="AB32" s="287"/>
      <c r="AC32" s="296"/>
      <c r="AO32" s="287"/>
      <c r="AP32" s="290"/>
      <c r="BB32" s="287"/>
    </row>
    <row r="33" spans="1:67" x14ac:dyDescent="0.2">
      <c r="A33" s="109">
        <v>29</v>
      </c>
      <c r="B33" s="288" t="s">
        <v>36</v>
      </c>
      <c r="C33" s="297">
        <f t="shared" ref="C33:H33" si="5">(C7/C5)*100</f>
        <v>45.997397128069984</v>
      </c>
      <c r="D33" s="297">
        <f t="shared" si="5"/>
        <v>19.155130658415729</v>
      </c>
      <c r="E33" s="297" t="e">
        <f t="shared" si="5"/>
        <v>#VALUE!</v>
      </c>
      <c r="F33" s="297">
        <f t="shared" si="5"/>
        <v>13.406381841433173</v>
      </c>
      <c r="G33" s="297">
        <f t="shared" si="5"/>
        <v>21.532061012100755</v>
      </c>
      <c r="H33" s="297">
        <f t="shared" si="5"/>
        <v>23.942508448273301</v>
      </c>
      <c r="I33" s="297"/>
      <c r="J33" s="297" t="e">
        <f t="shared" ref="J33:U33" si="6">(J7/J5)*100</f>
        <v>#DIV/0!</v>
      </c>
      <c r="K33" s="298">
        <f t="shared" si="6"/>
        <v>35.068998516587641</v>
      </c>
      <c r="L33" s="297">
        <f t="shared" si="6"/>
        <v>23.871250359307012</v>
      </c>
      <c r="M33" s="297">
        <f t="shared" si="6"/>
        <v>6.7137900000000004</v>
      </c>
      <c r="N33" s="297">
        <f t="shared" si="6"/>
        <v>15.848031302928989</v>
      </c>
      <c r="O33" s="297">
        <f t="shared" si="6"/>
        <v>31.000000039610182</v>
      </c>
      <c r="P33" s="297">
        <f t="shared" si="6"/>
        <v>27.274643802927628</v>
      </c>
      <c r="Q33" s="297">
        <f t="shared" si="6"/>
        <v>14.946053476998092</v>
      </c>
      <c r="R33" s="297">
        <f t="shared" si="6"/>
        <v>13.26672597584172</v>
      </c>
      <c r="S33" s="297">
        <f t="shared" si="6"/>
        <v>11.420154538257865</v>
      </c>
      <c r="T33" s="297">
        <f t="shared" si="6"/>
        <v>15.484714713013734</v>
      </c>
      <c r="U33" s="297">
        <f t="shared" si="6"/>
        <v>20.981173622143263</v>
      </c>
      <c r="V33" s="297"/>
      <c r="W33" s="297">
        <f t="shared" ref="W33:AU33" si="7">(W7/W5)*100</f>
        <v>16.610037015271342</v>
      </c>
      <c r="X33" s="297">
        <f t="shared" si="7"/>
        <v>23.55803451422868</v>
      </c>
      <c r="Y33" s="297">
        <f t="shared" si="7"/>
        <v>16.255175915077878</v>
      </c>
      <c r="Z33" s="297">
        <f t="shared" si="7"/>
        <v>4.6284447355654761</v>
      </c>
      <c r="AA33" s="297">
        <f t="shared" si="7"/>
        <v>34.478622346030235</v>
      </c>
      <c r="AB33" s="297">
        <f t="shared" si="7"/>
        <v>25.999999961338787</v>
      </c>
      <c r="AC33" s="297">
        <f t="shared" si="7"/>
        <v>26.776105984142863</v>
      </c>
      <c r="AD33" s="297">
        <f t="shared" si="7"/>
        <v>11.270964114126942</v>
      </c>
      <c r="AE33" s="297">
        <f t="shared" si="7"/>
        <v>13.4088185412635</v>
      </c>
      <c r="AF33" s="297">
        <f t="shared" si="7"/>
        <v>12.479768802471312</v>
      </c>
      <c r="AG33" s="297">
        <f t="shared" si="7"/>
        <v>14.852858961101031</v>
      </c>
      <c r="AH33" s="297">
        <f t="shared" si="7"/>
        <v>21.646698978443929</v>
      </c>
      <c r="AI33" s="297">
        <f t="shared" si="7"/>
        <v>12.917564082914712</v>
      </c>
      <c r="AJ33" s="297">
        <f t="shared" si="7"/>
        <v>21.09922830531934</v>
      </c>
      <c r="AK33" s="297">
        <f t="shared" si="7"/>
        <v>26.304649023902023</v>
      </c>
      <c r="AL33" s="297">
        <f t="shared" si="7"/>
        <v>16.133387038971104</v>
      </c>
      <c r="AM33" s="297">
        <f t="shared" si="7"/>
        <v>4.4816161975825768</v>
      </c>
      <c r="AN33" s="297">
        <f t="shared" si="7"/>
        <v>12.9544148659337</v>
      </c>
      <c r="AO33" s="297">
        <f t="shared" si="7"/>
        <v>26.000000076101131</v>
      </c>
      <c r="AP33" s="297">
        <f t="shared" si="7"/>
        <v>22.917979239137505</v>
      </c>
      <c r="AQ33" s="297">
        <f t="shared" si="7"/>
        <v>13.734125150304163</v>
      </c>
      <c r="AR33" s="297">
        <f t="shared" si="7"/>
        <v>15.31388789216127</v>
      </c>
      <c r="AS33" s="297">
        <f t="shared" si="7"/>
        <v>14.860654993059628</v>
      </c>
      <c r="AT33" s="297">
        <f t="shared" si="7"/>
        <v>19.092487298053321</v>
      </c>
      <c r="AU33" s="297">
        <f t="shared" si="7"/>
        <v>23.752999839050538</v>
      </c>
      <c r="AV33" s="297"/>
      <c r="AW33" s="297">
        <f t="shared" ref="AW33:BH33" si="8">(AW7/AW5)*100</f>
        <v>21.40158872376178</v>
      </c>
      <c r="AX33" s="297">
        <f t="shared" si="8"/>
        <v>23.333333371239274</v>
      </c>
      <c r="AY33" s="297">
        <f t="shared" si="8"/>
        <v>20.734316849723569</v>
      </c>
      <c r="AZ33" s="297">
        <f t="shared" si="8"/>
        <v>5.5948545218195509</v>
      </c>
      <c r="BA33" s="297">
        <f t="shared" si="8"/>
        <v>14.220972227118656</v>
      </c>
      <c r="BB33" s="297">
        <f t="shared" si="8"/>
        <v>25.999999960278142</v>
      </c>
      <c r="BC33" s="297">
        <f t="shared" si="8"/>
        <v>25.547793570282085</v>
      </c>
      <c r="BD33" s="297">
        <f t="shared" si="8"/>
        <v>15.672483205564362</v>
      </c>
      <c r="BE33" s="297">
        <f t="shared" si="8"/>
        <v>16.842884639972201</v>
      </c>
      <c r="BF33" s="297">
        <f t="shared" si="8"/>
        <v>15.355995915397058</v>
      </c>
      <c r="BG33" s="297">
        <f t="shared" si="8"/>
        <v>21.433842077590047</v>
      </c>
      <c r="BH33" s="297">
        <f t="shared" si="8"/>
        <v>23.737564892041007</v>
      </c>
      <c r="BI33" s="297"/>
      <c r="BJ33" s="297">
        <f t="shared" ref="BJ33:BO33" si="9">(BJ7/BJ5)*100</f>
        <v>23.807792161189607</v>
      </c>
      <c r="BK33" s="297">
        <f t="shared" si="9"/>
        <v>38.815601575934927</v>
      </c>
      <c r="BL33" s="297">
        <f t="shared" si="9"/>
        <v>22.501496669169299</v>
      </c>
      <c r="BM33" s="297">
        <f t="shared" si="9"/>
        <v>7.5739195598900011</v>
      </c>
      <c r="BN33" s="297">
        <f t="shared" si="9"/>
        <v>16.503247308775766</v>
      </c>
      <c r="BO33" s="297">
        <f t="shared" si="9"/>
        <v>26.000000036152436</v>
      </c>
    </row>
    <row r="34" spans="1:67" x14ac:dyDescent="0.2">
      <c r="A34" s="109">
        <v>30</v>
      </c>
      <c r="B34" s="288" t="s">
        <v>46</v>
      </c>
      <c r="C34" s="42">
        <f t="shared" ref="C34:H34" si="10">C17-C14</f>
        <v>1569359816.2142892</v>
      </c>
      <c r="D34" s="42">
        <f t="shared" si="10"/>
        <v>231000616</v>
      </c>
      <c r="E34" s="42">
        <f t="shared" si="10"/>
        <v>789400000</v>
      </c>
      <c r="F34" s="42">
        <f t="shared" si="10"/>
        <v>459100000</v>
      </c>
      <c r="G34" s="42">
        <f t="shared" si="10"/>
        <v>0</v>
      </c>
      <c r="H34" s="42">
        <f t="shared" si="10"/>
        <v>558668603</v>
      </c>
      <c r="I34" s="42"/>
      <c r="J34" s="42">
        <f t="shared" ref="J34:U34" si="11">J17-J14</f>
        <v>0</v>
      </c>
      <c r="K34" s="277">
        <f t="shared" si="11"/>
        <v>727287380.92857146</v>
      </c>
      <c r="L34" s="42">
        <f t="shared" si="11"/>
        <v>464749671</v>
      </c>
      <c r="M34" s="42">
        <f t="shared" si="11"/>
        <v>389790281.91999996</v>
      </c>
      <c r="N34" s="42">
        <f t="shared" si="11"/>
        <v>322269784</v>
      </c>
      <c r="O34" s="42">
        <f t="shared" si="11"/>
        <v>345812516.193573</v>
      </c>
      <c r="P34" s="42">
        <f t="shared" si="11"/>
        <v>2588231719.1021824</v>
      </c>
      <c r="Q34" s="42">
        <f t="shared" si="11"/>
        <v>229713355</v>
      </c>
      <c r="R34" s="42">
        <f t="shared" si="11"/>
        <v>803000000</v>
      </c>
      <c r="S34" s="42">
        <f t="shared" si="11"/>
        <v>510200000</v>
      </c>
      <c r="T34" s="42">
        <f t="shared" si="11"/>
        <v>719602219.33333325</v>
      </c>
      <c r="U34" s="42">
        <f t="shared" si="11"/>
        <v>624503937</v>
      </c>
      <c r="V34" s="42"/>
      <c r="W34" s="42">
        <f t="shared" ref="W34:AU34" si="12">W17-W14</f>
        <v>1928599033</v>
      </c>
      <c r="X34" s="42">
        <f t="shared" si="12"/>
        <v>1084534497.4642859</v>
      </c>
      <c r="Y34" s="42">
        <f t="shared" si="12"/>
        <v>534654720</v>
      </c>
      <c r="Z34" s="42">
        <f t="shared" si="12"/>
        <v>458700328</v>
      </c>
      <c r="AA34" s="42">
        <f t="shared" si="12"/>
        <v>386924076</v>
      </c>
      <c r="AB34" s="42">
        <f t="shared" si="12"/>
        <v>490223951.19461799</v>
      </c>
      <c r="AC34" s="42">
        <f t="shared" si="12"/>
        <v>2776538383.2302203</v>
      </c>
      <c r="AD34" s="42">
        <f t="shared" si="12"/>
        <v>235507166</v>
      </c>
      <c r="AE34" s="42">
        <f t="shared" si="12"/>
        <v>835746329</v>
      </c>
      <c r="AF34" s="42">
        <f t="shared" si="12"/>
        <v>465700000</v>
      </c>
      <c r="AG34" s="42">
        <f t="shared" si="12"/>
        <v>728650112.58139527</v>
      </c>
      <c r="AH34" s="42">
        <f t="shared" si="12"/>
        <v>626682269</v>
      </c>
      <c r="AI34" s="42">
        <f t="shared" si="12"/>
        <v>0</v>
      </c>
      <c r="AJ34" s="42">
        <f t="shared" si="12"/>
        <v>1884817279</v>
      </c>
      <c r="AK34" s="42">
        <f t="shared" si="12"/>
        <v>1025113132.8928572</v>
      </c>
      <c r="AL34" s="42">
        <f t="shared" si="12"/>
        <v>563637204.45000005</v>
      </c>
      <c r="AM34" s="42">
        <f t="shared" si="12"/>
        <v>451117632</v>
      </c>
      <c r="AN34" s="42">
        <f t="shared" si="12"/>
        <v>408917634</v>
      </c>
      <c r="AO34" s="42">
        <f t="shared" si="12"/>
        <v>490535236.39111209</v>
      </c>
      <c r="AP34" s="42">
        <f t="shared" si="12"/>
        <v>2530698798.7112503</v>
      </c>
      <c r="AQ34" s="42">
        <f t="shared" si="12"/>
        <v>280597262</v>
      </c>
      <c r="AR34" s="42">
        <f t="shared" si="12"/>
        <v>836051356</v>
      </c>
      <c r="AS34" s="42">
        <f t="shared" si="12"/>
        <v>528200000</v>
      </c>
      <c r="AT34" s="42">
        <f t="shared" si="12"/>
        <v>740758528.67857146</v>
      </c>
      <c r="AU34" s="42">
        <f t="shared" si="12"/>
        <v>654731305</v>
      </c>
      <c r="AV34" s="42"/>
      <c r="AW34" s="42">
        <f t="shared" ref="AW34:BH34" si="13">AW17-AW14</f>
        <v>1777037714</v>
      </c>
      <c r="AX34" s="42">
        <f t="shared" si="13"/>
        <v>1080586790.5714285</v>
      </c>
      <c r="AY34" s="42">
        <f t="shared" si="13"/>
        <v>553173027</v>
      </c>
      <c r="AZ34" s="42">
        <f t="shared" si="13"/>
        <v>480104401</v>
      </c>
      <c r="BA34" s="42">
        <f t="shared" si="13"/>
        <v>424747442</v>
      </c>
      <c r="BB34" s="42">
        <f t="shared" si="13"/>
        <v>503286127.62302303</v>
      </c>
      <c r="BC34" s="42">
        <f t="shared" si="13"/>
        <v>2731007637.2051287</v>
      </c>
      <c r="BD34" s="42">
        <f t="shared" si="13"/>
        <v>275085757</v>
      </c>
      <c r="BE34" s="42">
        <f t="shared" si="13"/>
        <v>894940526</v>
      </c>
      <c r="BF34" s="42">
        <f t="shared" si="13"/>
        <v>612100000.00000012</v>
      </c>
      <c r="BG34" s="42">
        <f t="shared" si="13"/>
        <v>815720576.25</v>
      </c>
      <c r="BH34" s="42">
        <f t="shared" si="13"/>
        <v>727792643</v>
      </c>
      <c r="BI34" s="42"/>
      <c r="BJ34" s="42">
        <f t="shared" ref="BJ34:BO34" si="14">BJ17-BJ14</f>
        <v>1996623789</v>
      </c>
      <c r="BK34" s="42">
        <f t="shared" si="14"/>
        <v>1142541992.7857144</v>
      </c>
      <c r="BL34" s="42">
        <f t="shared" si="14"/>
        <v>570230004</v>
      </c>
      <c r="BM34" s="42">
        <f t="shared" si="14"/>
        <v>496317816</v>
      </c>
      <c r="BN34" s="42">
        <f t="shared" si="14"/>
        <v>471306370</v>
      </c>
      <c r="BO34" s="42">
        <f t="shared" si="14"/>
        <v>561903812.38519704</v>
      </c>
    </row>
    <row r="35" spans="1:67" x14ac:dyDescent="0.2">
      <c r="A35" s="109">
        <v>31</v>
      </c>
      <c r="B35" s="288" t="s">
        <v>39</v>
      </c>
      <c r="C35" s="297">
        <f t="shared" ref="C35:H35" si="15">(C13/C17)*100</f>
        <v>43.278006201996405</v>
      </c>
      <c r="D35" s="297">
        <f t="shared" si="15"/>
        <v>99.566834055542088</v>
      </c>
      <c r="E35" s="297">
        <f t="shared" si="15"/>
        <v>67.433241471063383</v>
      </c>
      <c r="F35" s="297">
        <f t="shared" si="15"/>
        <v>74.979585170667974</v>
      </c>
      <c r="G35" s="297" t="e">
        <f t="shared" si="15"/>
        <v>#DIV/0!</v>
      </c>
      <c r="H35" s="297">
        <f t="shared" si="15"/>
        <v>64.427474060149976</v>
      </c>
      <c r="I35" s="297"/>
      <c r="J35" s="297" t="e">
        <f t="shared" ref="J35:U35" si="16">(J13/J17)*100</f>
        <v>#DIV/0!</v>
      </c>
      <c r="K35" s="298">
        <f t="shared" si="16"/>
        <v>56.453491595406888</v>
      </c>
      <c r="L35" s="297">
        <f t="shared" si="16"/>
        <v>78.551698626198572</v>
      </c>
      <c r="M35" s="297">
        <f t="shared" si="16"/>
        <v>59.014620033058819</v>
      </c>
      <c r="N35" s="297">
        <f t="shared" si="16"/>
        <v>63.336854144867935</v>
      </c>
      <c r="O35" s="297">
        <f t="shared" si="16"/>
        <v>49.774383713191348</v>
      </c>
      <c r="P35" s="297">
        <f t="shared" si="16"/>
        <v>67.266136766499415</v>
      </c>
      <c r="Q35" s="297">
        <f t="shared" si="16"/>
        <v>100.12478377672034</v>
      </c>
      <c r="R35" s="297">
        <f t="shared" si="16"/>
        <v>76.906216162021252</v>
      </c>
      <c r="S35" s="297">
        <f t="shared" si="16"/>
        <v>81.671202177044975</v>
      </c>
      <c r="T35" s="297">
        <f t="shared" si="16"/>
        <v>85.851130308859354</v>
      </c>
      <c r="U35" s="297">
        <f t="shared" si="16"/>
        <v>72.40079359930661</v>
      </c>
      <c r="V35" s="297"/>
      <c r="W35" s="297">
        <f t="shared" ref="W35:AU35" si="17">(W13/W17)*100</f>
        <v>91.51985218887377</v>
      </c>
      <c r="X35" s="297">
        <f t="shared" si="17"/>
        <v>50.541786865640859</v>
      </c>
      <c r="Y35" s="297">
        <f t="shared" si="17"/>
        <v>86.48800884446382</v>
      </c>
      <c r="Z35" s="297">
        <f t="shared" si="17"/>
        <v>91.874321195456417</v>
      </c>
      <c r="AA35" s="297">
        <f t="shared" si="17"/>
        <v>78.091132961538918</v>
      </c>
      <c r="AB35" s="297">
        <f t="shared" si="17"/>
        <v>65.702980789330212</v>
      </c>
      <c r="AC35" s="297">
        <f t="shared" si="17"/>
        <v>68.104673536910497</v>
      </c>
      <c r="AD35" s="297">
        <f t="shared" si="17"/>
        <v>99.784649440348659</v>
      </c>
      <c r="AE35" s="297">
        <f t="shared" si="17"/>
        <v>74.145411525397378</v>
      </c>
      <c r="AF35" s="297">
        <f t="shared" si="17"/>
        <v>76.987931889568529</v>
      </c>
      <c r="AG35" s="297">
        <f t="shared" si="17"/>
        <v>80.764530388322811</v>
      </c>
      <c r="AH35" s="297">
        <f t="shared" si="17"/>
        <v>72.505197419250223</v>
      </c>
      <c r="AI35" s="297" t="e">
        <f t="shared" si="17"/>
        <v>#DIV/0!</v>
      </c>
      <c r="AJ35" s="297">
        <f t="shared" si="17"/>
        <v>86.369429109942175</v>
      </c>
      <c r="AK35" s="297">
        <f t="shared" si="17"/>
        <v>54.044988566744621</v>
      </c>
      <c r="AL35" s="297">
        <f t="shared" si="17"/>
        <v>123.09862996629255</v>
      </c>
      <c r="AM35" s="297">
        <f t="shared" si="17"/>
        <v>71.883636278511602</v>
      </c>
      <c r="AN35" s="297">
        <f t="shared" si="17"/>
        <v>76.675240218169463</v>
      </c>
      <c r="AO35" s="297">
        <f t="shared" si="17"/>
        <v>66.17597671140453</v>
      </c>
      <c r="AP35" s="297">
        <f t="shared" si="17"/>
        <v>58.291148145449469</v>
      </c>
      <c r="AQ35" s="297">
        <f t="shared" si="17"/>
        <v>99.787146176786294</v>
      </c>
      <c r="AR35" s="297">
        <f t="shared" si="17"/>
        <v>73.910856286356491</v>
      </c>
      <c r="AS35" s="297">
        <f t="shared" si="17"/>
        <v>74.604519774011308</v>
      </c>
      <c r="AT35" s="297">
        <f t="shared" si="17"/>
        <v>76.133577406605639</v>
      </c>
      <c r="AU35" s="297">
        <f t="shared" si="17"/>
        <v>67.08439615926531</v>
      </c>
      <c r="AV35" s="297"/>
      <c r="AW35" s="297">
        <f t="shared" ref="AW35:BH35" si="18">(AW13/AW17)*100</f>
        <v>76.177445494023701</v>
      </c>
      <c r="AX35" s="297">
        <f t="shared" si="18"/>
        <v>47.18836432023879</v>
      </c>
      <c r="AY35" s="297">
        <f t="shared" si="18"/>
        <v>82.162685954661626</v>
      </c>
      <c r="AZ35" s="297">
        <f t="shared" si="18"/>
        <v>75.594230259806352</v>
      </c>
      <c r="BA35" s="297">
        <f t="shared" si="18"/>
        <v>65.444530808103011</v>
      </c>
      <c r="BB35" s="297">
        <f t="shared" si="18"/>
        <v>62.657385185516681</v>
      </c>
      <c r="BC35" s="297">
        <f t="shared" si="18"/>
        <v>56.632253339926223</v>
      </c>
      <c r="BD35" s="297">
        <f t="shared" si="18"/>
        <v>97.36226262415353</v>
      </c>
      <c r="BE35" s="297">
        <f t="shared" si="18"/>
        <v>71.649386147691203</v>
      </c>
      <c r="BF35" s="297">
        <f t="shared" si="18"/>
        <v>75.764327268226253</v>
      </c>
      <c r="BG35" s="297">
        <f t="shared" si="18"/>
        <v>71.351410649821048</v>
      </c>
      <c r="BH35" s="297">
        <f t="shared" si="18"/>
        <v>73.53426398894895</v>
      </c>
      <c r="BI35" s="297"/>
      <c r="BJ35" s="297">
        <f t="shared" ref="BJ35:BO35" si="19">(BJ13/BJ17)*100</f>
        <v>70.165947096225253</v>
      </c>
      <c r="BK35" s="297">
        <f t="shared" si="19"/>
        <v>50.78456872734489</v>
      </c>
      <c r="BL35" s="297">
        <f t="shared" si="19"/>
        <v>84.634272318574688</v>
      </c>
      <c r="BM35" s="297">
        <f t="shared" si="19"/>
        <v>64.349299419159493</v>
      </c>
      <c r="BN35" s="297">
        <f t="shared" si="19"/>
        <v>67.469670759563243</v>
      </c>
      <c r="BO35" s="297">
        <f t="shared" si="19"/>
        <v>67.306148286460072</v>
      </c>
    </row>
    <row r="36" spans="1:67" x14ac:dyDescent="0.2">
      <c r="A36" s="109">
        <v>32</v>
      </c>
      <c r="B36" s="288" t="s">
        <v>48</v>
      </c>
      <c r="C36" s="297">
        <f t="shared" ref="C36:H36" si="20">(C14/C17)*100</f>
        <v>55.019965796825034</v>
      </c>
      <c r="D36" s="297">
        <f t="shared" si="20"/>
        <v>0</v>
      </c>
      <c r="E36" s="297">
        <f t="shared" si="20"/>
        <v>24.983369761474862</v>
      </c>
      <c r="F36" s="297">
        <f t="shared" si="20"/>
        <v>25.020414829332026</v>
      </c>
      <c r="G36" s="297" t="e">
        <f t="shared" si="20"/>
        <v>#DIV/0!</v>
      </c>
      <c r="H36" s="297">
        <f t="shared" si="20"/>
        <v>25.531828829915838</v>
      </c>
      <c r="I36" s="297"/>
      <c r="J36" s="297" t="e">
        <f t="shared" ref="J36:U36" si="21">(J14/J17)*100</f>
        <v>#DIV/0!</v>
      </c>
      <c r="K36" s="298">
        <f t="shared" si="21"/>
        <v>39.218037074002623</v>
      </c>
      <c r="L36" s="297">
        <f t="shared" si="21"/>
        <v>29.712852427134433</v>
      </c>
      <c r="M36" s="297">
        <f t="shared" si="21"/>
        <v>39.155909275828087</v>
      </c>
      <c r="N36" s="297">
        <f t="shared" si="21"/>
        <v>36.061101208922359</v>
      </c>
      <c r="O36" s="297">
        <f t="shared" si="21"/>
        <v>41.127023189983696</v>
      </c>
      <c r="P36" s="297">
        <f t="shared" si="21"/>
        <v>31.70621290836861</v>
      </c>
      <c r="Q36" s="297">
        <f t="shared" si="21"/>
        <v>0</v>
      </c>
      <c r="R36" s="297">
        <f t="shared" si="21"/>
        <v>19.490675756968116</v>
      </c>
      <c r="S36" s="297">
        <f t="shared" si="21"/>
        <v>18.328797822955018</v>
      </c>
      <c r="T36" s="297">
        <f t="shared" si="21"/>
        <v>17.778687844808179</v>
      </c>
      <c r="U36" s="297">
        <f t="shared" si="21"/>
        <v>13.060383480560178</v>
      </c>
      <c r="V36" s="297"/>
      <c r="W36" s="297">
        <f t="shared" ref="W36:AU36" si="22">(W14/W17)*100</f>
        <v>22.079180073975476</v>
      </c>
      <c r="X36" s="297">
        <f t="shared" si="22"/>
        <v>21.52489513957212</v>
      </c>
      <c r="Y36" s="297">
        <f t="shared" si="22"/>
        <v>22.465732730467927</v>
      </c>
      <c r="Z36" s="297">
        <f t="shared" si="22"/>
        <v>26.272380091824171</v>
      </c>
      <c r="AA36" s="297">
        <f t="shared" si="22"/>
        <v>23.116250495895656</v>
      </c>
      <c r="AB36" s="297">
        <f t="shared" si="22"/>
        <v>26.095735069660357</v>
      </c>
      <c r="AC36" s="297">
        <f t="shared" si="22"/>
        <v>30.232479812647</v>
      </c>
      <c r="AD36" s="297">
        <f t="shared" si="22"/>
        <v>0</v>
      </c>
      <c r="AE36" s="297">
        <f t="shared" si="22"/>
        <v>21.092853363302527</v>
      </c>
      <c r="AF36" s="297">
        <f t="shared" si="22"/>
        <v>23.012068110431478</v>
      </c>
      <c r="AG36" s="297">
        <f t="shared" si="22"/>
        <v>20.051053135251649</v>
      </c>
      <c r="AH36" s="297">
        <f t="shared" si="22"/>
        <v>14.496872483524825</v>
      </c>
      <c r="AI36" s="297" t="e">
        <f t="shared" si="22"/>
        <v>#DIV/0!</v>
      </c>
      <c r="AJ36" s="297">
        <f t="shared" si="22"/>
        <v>24.677914949048244</v>
      </c>
      <c r="AK36" s="297">
        <f t="shared" si="22"/>
        <v>21.935378694267801</v>
      </c>
      <c r="AL36" s="297">
        <f t="shared" si="22"/>
        <v>22.730984162875604</v>
      </c>
      <c r="AM36" s="297">
        <f t="shared" si="22"/>
        <v>29.522479499799076</v>
      </c>
      <c r="AN36" s="297">
        <f t="shared" si="22"/>
        <v>23.823218539017262</v>
      </c>
      <c r="AO36" s="297">
        <f t="shared" si="22"/>
        <v>25.646651969896123</v>
      </c>
      <c r="AP36" s="297">
        <f t="shared" si="22"/>
        <v>40.312650082040399</v>
      </c>
      <c r="AQ36" s="297">
        <f t="shared" si="22"/>
        <v>0</v>
      </c>
      <c r="AR36" s="297">
        <f t="shared" si="22"/>
        <v>24.668443317169139</v>
      </c>
      <c r="AS36" s="297">
        <f t="shared" si="22"/>
        <v>25.395480225988699</v>
      </c>
      <c r="AT36" s="297">
        <f t="shared" si="22"/>
        <v>22.989450307100395</v>
      </c>
      <c r="AU36" s="297">
        <f t="shared" si="22"/>
        <v>19.958352337782241</v>
      </c>
      <c r="AV36" s="297"/>
      <c r="AW36" s="297">
        <f t="shared" ref="AW36:BH36" si="23">(AW14/AW17)*100</f>
        <v>29.797078947052348</v>
      </c>
      <c r="AX36" s="297">
        <f t="shared" si="23"/>
        <v>29.136477507167985</v>
      </c>
      <c r="AY36" s="297">
        <f t="shared" si="23"/>
        <v>25.741385289702773</v>
      </c>
      <c r="AZ36" s="297">
        <f t="shared" si="23"/>
        <v>30.178813357534125</v>
      </c>
      <c r="BA36" s="297">
        <f t="shared" si="23"/>
        <v>27.66457040309519</v>
      </c>
      <c r="BB36" s="297">
        <f t="shared" si="23"/>
        <v>29.500305701040798</v>
      </c>
      <c r="BC36" s="297">
        <f t="shared" si="23"/>
        <v>42.267879358960364</v>
      </c>
      <c r="BD36" s="297">
        <f t="shared" si="23"/>
        <v>4.3465295814354254</v>
      </c>
      <c r="BE36" s="297">
        <f t="shared" si="23"/>
        <v>25.224709770982461</v>
      </c>
      <c r="BF36" s="297">
        <f t="shared" si="23"/>
        <v>24.235672731773729</v>
      </c>
      <c r="BG36" s="297">
        <f t="shared" si="23"/>
        <v>23.06743035065789</v>
      </c>
      <c r="BH36" s="297">
        <f t="shared" si="23"/>
        <v>20.227882351224842</v>
      </c>
      <c r="BI36" s="297"/>
      <c r="BJ36" s="297">
        <f t="shared" ref="BJ36:BO36" si="24">(BJ14/BJ17)*100</f>
        <v>28.791524381320006</v>
      </c>
      <c r="BK36" s="297">
        <f t="shared" si="24"/>
        <v>31.800361362801233</v>
      </c>
      <c r="BL36" s="297">
        <f t="shared" si="24"/>
        <v>27.438813428504478</v>
      </c>
      <c r="BM36" s="297">
        <f t="shared" si="24"/>
        <v>32.473042935627426</v>
      </c>
      <c r="BN36" s="297">
        <f t="shared" si="24"/>
        <v>28.333056713011228</v>
      </c>
      <c r="BO36" s="297">
        <f t="shared" si="24"/>
        <v>31.560261529770589</v>
      </c>
    </row>
    <row r="37" spans="1:67" x14ac:dyDescent="0.2">
      <c r="A37" s="109">
        <v>33</v>
      </c>
      <c r="B37" s="288" t="s">
        <v>47</v>
      </c>
      <c r="C37" s="297">
        <f t="shared" ref="C37:H37" si="25">(C34/C17)*100</f>
        <v>44.980034203174974</v>
      </c>
      <c r="D37" s="297">
        <f t="shared" si="25"/>
        <v>100</v>
      </c>
      <c r="E37" s="297">
        <f t="shared" si="25"/>
        <v>75.016630238525138</v>
      </c>
      <c r="F37" s="297">
        <f t="shared" si="25"/>
        <v>74.979585170667974</v>
      </c>
      <c r="G37" s="297" t="e">
        <f t="shared" si="25"/>
        <v>#DIV/0!</v>
      </c>
      <c r="H37" s="297">
        <f t="shared" si="25"/>
        <v>74.468171170084162</v>
      </c>
      <c r="I37" s="297"/>
      <c r="J37" s="297" t="e">
        <f t="shared" ref="J37:U37" si="26">(J34/J17)*100</f>
        <v>#DIV/0!</v>
      </c>
      <c r="K37" s="298">
        <f t="shared" si="26"/>
        <v>60.781962925997377</v>
      </c>
      <c r="L37" s="297">
        <f t="shared" si="26"/>
        <v>70.287147572865564</v>
      </c>
      <c r="M37" s="297">
        <f t="shared" si="26"/>
        <v>60.84409072417192</v>
      </c>
      <c r="N37" s="297">
        <f t="shared" si="26"/>
        <v>63.938898791077634</v>
      </c>
      <c r="O37" s="297">
        <f t="shared" si="26"/>
        <v>58.872976810016311</v>
      </c>
      <c r="P37" s="297">
        <f t="shared" si="26"/>
        <v>68.293787091631401</v>
      </c>
      <c r="Q37" s="297">
        <f t="shared" si="26"/>
        <v>100</v>
      </c>
      <c r="R37" s="297">
        <f t="shared" si="26"/>
        <v>80.509324243031884</v>
      </c>
      <c r="S37" s="297">
        <f t="shared" si="26"/>
        <v>81.671202177044975</v>
      </c>
      <c r="T37" s="297">
        <f t="shared" si="26"/>
        <v>82.221312155191811</v>
      </c>
      <c r="U37" s="297">
        <f t="shared" si="26"/>
        <v>86.939616519439824</v>
      </c>
      <c r="V37" s="297"/>
      <c r="W37" s="297">
        <f t="shared" ref="W37:AU37" si="27">(W34/W17)*100</f>
        <v>77.920819926024521</v>
      </c>
      <c r="X37" s="297">
        <f t="shared" si="27"/>
        <v>78.475104860427891</v>
      </c>
      <c r="Y37" s="297">
        <f t="shared" si="27"/>
        <v>77.53426726953208</v>
      </c>
      <c r="Z37" s="297">
        <f t="shared" si="27"/>
        <v>73.727619908175825</v>
      </c>
      <c r="AA37" s="297">
        <f t="shared" si="27"/>
        <v>76.883749504104344</v>
      </c>
      <c r="AB37" s="297">
        <f t="shared" si="27"/>
        <v>73.904264930339636</v>
      </c>
      <c r="AC37" s="297">
        <f t="shared" si="27"/>
        <v>69.767520187353</v>
      </c>
      <c r="AD37" s="297">
        <f t="shared" si="27"/>
        <v>100</v>
      </c>
      <c r="AE37" s="297">
        <f t="shared" si="27"/>
        <v>78.907146636697476</v>
      </c>
      <c r="AF37" s="297">
        <f t="shared" si="27"/>
        <v>76.987931889568529</v>
      </c>
      <c r="AG37" s="297">
        <f t="shared" si="27"/>
        <v>79.948946864748351</v>
      </c>
      <c r="AH37" s="297">
        <f t="shared" si="27"/>
        <v>85.503127516475175</v>
      </c>
      <c r="AI37" s="297" t="e">
        <f t="shared" si="27"/>
        <v>#DIV/0!</v>
      </c>
      <c r="AJ37" s="297">
        <f t="shared" si="27"/>
        <v>75.322085050951756</v>
      </c>
      <c r="AK37" s="297">
        <f t="shared" si="27"/>
        <v>78.064621305732203</v>
      </c>
      <c r="AL37" s="297">
        <f t="shared" si="27"/>
        <v>77.2690158371244</v>
      </c>
      <c r="AM37" s="297">
        <f t="shared" si="27"/>
        <v>70.477520500200924</v>
      </c>
      <c r="AN37" s="297">
        <f t="shared" si="27"/>
        <v>76.176781460982738</v>
      </c>
      <c r="AO37" s="297">
        <f t="shared" si="27"/>
        <v>74.353348030103874</v>
      </c>
      <c r="AP37" s="297">
        <f t="shared" si="27"/>
        <v>59.687349917959601</v>
      </c>
      <c r="AQ37" s="297">
        <f t="shared" si="27"/>
        <v>100</v>
      </c>
      <c r="AR37" s="297">
        <f t="shared" si="27"/>
        <v>75.331556682830865</v>
      </c>
      <c r="AS37" s="297">
        <f t="shared" si="27"/>
        <v>74.604519774011308</v>
      </c>
      <c r="AT37" s="297">
        <f t="shared" si="27"/>
        <v>77.010549692899616</v>
      </c>
      <c r="AU37" s="297">
        <f t="shared" si="27"/>
        <v>80.041647662217756</v>
      </c>
      <c r="AV37" s="297"/>
      <c r="AW37" s="297">
        <f t="shared" ref="AW37:BH37" si="28">(AW34/AW17)*100</f>
        <v>70.202921052947659</v>
      </c>
      <c r="AX37" s="297">
        <f t="shared" si="28"/>
        <v>70.863522492832004</v>
      </c>
      <c r="AY37" s="297">
        <f t="shared" si="28"/>
        <v>74.258614710297223</v>
      </c>
      <c r="AZ37" s="297">
        <f t="shared" si="28"/>
        <v>69.821186642465875</v>
      </c>
      <c r="BA37" s="297">
        <f t="shared" si="28"/>
        <v>72.335429596904817</v>
      </c>
      <c r="BB37" s="297">
        <f t="shared" si="28"/>
        <v>70.499694298959199</v>
      </c>
      <c r="BC37" s="297">
        <f t="shared" si="28"/>
        <v>57.732120641039629</v>
      </c>
      <c r="BD37" s="297">
        <f t="shared" si="28"/>
        <v>95.653470418564581</v>
      </c>
      <c r="BE37" s="297">
        <f t="shared" si="28"/>
        <v>74.775290229017529</v>
      </c>
      <c r="BF37" s="297">
        <f t="shared" si="28"/>
        <v>75.764327268226268</v>
      </c>
      <c r="BG37" s="297">
        <f t="shared" si="28"/>
        <v>76.932569649342113</v>
      </c>
      <c r="BH37" s="297">
        <f t="shared" si="28"/>
        <v>79.772117648775165</v>
      </c>
      <c r="BI37" s="297"/>
      <c r="BJ37" s="297">
        <f t="shared" ref="BJ37:BO37" si="29">(BJ34/BJ17)*100</f>
        <v>71.208475618679984</v>
      </c>
      <c r="BK37" s="297">
        <f t="shared" si="29"/>
        <v>68.199638637198774</v>
      </c>
      <c r="BL37" s="297">
        <f t="shared" si="29"/>
        <v>72.561186571495526</v>
      </c>
      <c r="BM37" s="297">
        <f t="shared" si="29"/>
        <v>67.526957064372567</v>
      </c>
      <c r="BN37" s="297">
        <f t="shared" si="29"/>
        <v>71.666943286988769</v>
      </c>
      <c r="BO37" s="297">
        <f t="shared" si="29"/>
        <v>68.439738470229415</v>
      </c>
    </row>
    <row r="38" spans="1:67" x14ac:dyDescent="0.2">
      <c r="A38" s="109">
        <v>34</v>
      </c>
      <c r="B38" s="288" t="s">
        <v>40</v>
      </c>
      <c r="C38" s="297"/>
      <c r="D38" s="297"/>
      <c r="E38" s="297"/>
      <c r="F38" s="297"/>
      <c r="G38" s="297"/>
      <c r="H38" s="297"/>
      <c r="I38" s="297"/>
      <c r="J38" s="297"/>
      <c r="K38" s="298"/>
      <c r="L38" s="297"/>
      <c r="M38" s="297"/>
      <c r="N38" s="297"/>
      <c r="O38" s="297"/>
      <c r="P38" s="297"/>
      <c r="Q38" s="297"/>
      <c r="R38" s="297"/>
      <c r="S38" s="297"/>
      <c r="T38" s="297"/>
      <c r="U38" s="297"/>
      <c r="V38" s="297"/>
      <c r="W38" s="297"/>
      <c r="X38" s="297"/>
      <c r="Y38" s="297"/>
      <c r="Z38" s="297"/>
      <c r="AA38" s="297"/>
      <c r="AB38" s="297"/>
      <c r="AC38" s="297"/>
      <c r="AD38" s="297"/>
      <c r="AE38" s="297"/>
      <c r="AF38" s="297"/>
      <c r="AG38" s="297"/>
      <c r="AH38" s="297"/>
      <c r="AI38" s="297"/>
      <c r="AJ38" s="297"/>
      <c r="AK38" s="297"/>
      <c r="AL38" s="297"/>
      <c r="AM38" s="297"/>
      <c r="AN38" s="297"/>
      <c r="AO38" s="297"/>
      <c r="AP38" s="297"/>
      <c r="AQ38" s="297"/>
      <c r="AR38" s="297"/>
      <c r="AS38" s="297"/>
      <c r="AT38" s="297"/>
      <c r="AU38" s="297"/>
      <c r="AV38" s="297"/>
      <c r="AW38" s="297"/>
      <c r="AX38" s="297"/>
      <c r="AY38" s="297"/>
      <c r="AZ38" s="297"/>
      <c r="BA38" s="297"/>
      <c r="BB38" s="297"/>
      <c r="BC38" s="297"/>
      <c r="BD38" s="297"/>
      <c r="BE38" s="297"/>
      <c r="BF38" s="297"/>
      <c r="BG38" s="297"/>
      <c r="BH38" s="297"/>
      <c r="BI38" s="297"/>
      <c r="BJ38" s="297"/>
      <c r="BK38" s="297"/>
      <c r="BL38" s="297"/>
      <c r="BM38" s="297"/>
      <c r="BN38" s="297"/>
      <c r="BO38" s="297"/>
    </row>
    <row r="39" spans="1:67" x14ac:dyDescent="0.2">
      <c r="A39" s="109">
        <v>35</v>
      </c>
      <c r="B39" s="288" t="s">
        <v>41</v>
      </c>
      <c r="C39" s="297">
        <f t="shared" ref="C39:H39" si="30">(C15/C5)</f>
        <v>1.1037691488041803</v>
      </c>
      <c r="D39" s="297">
        <f t="shared" si="30"/>
        <v>1.1528428254714902</v>
      </c>
      <c r="E39" s="297" t="e">
        <f t="shared" si="30"/>
        <v>#VALUE!</v>
      </c>
      <c r="F39" s="297">
        <f t="shared" si="30"/>
        <v>1.0932982210941533</v>
      </c>
      <c r="G39" s="297">
        <f t="shared" si="30"/>
        <v>0</v>
      </c>
      <c r="H39" s="297">
        <f t="shared" si="30"/>
        <v>1.2414391056127674</v>
      </c>
      <c r="I39" s="297"/>
      <c r="J39" s="297" t="e">
        <f t="shared" ref="J39:U39" si="31">(J15/J5)</f>
        <v>#DIV/0!</v>
      </c>
      <c r="K39" s="298">
        <f t="shared" si="31"/>
        <v>0.93726154356270486</v>
      </c>
      <c r="L39" s="297">
        <f t="shared" si="31"/>
        <v>0.89047737033811269</v>
      </c>
      <c r="M39" s="297">
        <f t="shared" si="31"/>
        <v>0.78558590617283952</v>
      </c>
      <c r="N39" s="297">
        <f t="shared" si="31"/>
        <v>0.9983285473145197</v>
      </c>
      <c r="O39" s="297">
        <f t="shared" si="31"/>
        <v>1.1633263192816206</v>
      </c>
      <c r="P39" s="297">
        <f t="shared" si="31"/>
        <v>1.2229136745109259</v>
      </c>
      <c r="Q39" s="297">
        <f t="shared" si="31"/>
        <v>1.2064040596933518</v>
      </c>
      <c r="R39" s="297">
        <f t="shared" si="31"/>
        <v>1.490595508086872</v>
      </c>
      <c r="S39" s="297">
        <f t="shared" si="31"/>
        <v>1.1386482741493205</v>
      </c>
      <c r="T39" s="297">
        <f t="shared" si="31"/>
        <v>1.122001144957544</v>
      </c>
      <c r="U39" s="297">
        <f t="shared" si="31"/>
        <v>1.2102252845733932</v>
      </c>
      <c r="V39" s="297"/>
      <c r="W39" s="297">
        <f t="shared" ref="W39:AU39" si="32">(W15/W5)</f>
        <v>1.2835696961795655</v>
      </c>
      <c r="X39" s="297">
        <f t="shared" si="32"/>
        <v>1.0344071637813781</v>
      </c>
      <c r="Y39" s="297">
        <f t="shared" si="32"/>
        <v>0.8272905744608523</v>
      </c>
      <c r="Z39" s="297">
        <f t="shared" si="32"/>
        <v>0.76198331916229678</v>
      </c>
      <c r="AA39" s="297">
        <f t="shared" si="32"/>
        <v>3.1950279027989876</v>
      </c>
      <c r="AB39" s="297">
        <f t="shared" si="32"/>
        <v>1.2822435520335451</v>
      </c>
      <c r="AC39" s="297">
        <f t="shared" si="32"/>
        <v>1.1901116334463606</v>
      </c>
      <c r="AD39" s="297">
        <f t="shared" si="32"/>
        <v>1.1953829633894677</v>
      </c>
      <c r="AE39" s="297">
        <f t="shared" si="32"/>
        <v>1.4352297879126343</v>
      </c>
      <c r="AF39" s="297">
        <f t="shared" si="32"/>
        <v>1.2590457152803611</v>
      </c>
      <c r="AG39" s="297">
        <f t="shared" si="32"/>
        <v>1.1623969156673237</v>
      </c>
      <c r="AH39" s="297">
        <f t="shared" si="32"/>
        <v>1.2655642058255709</v>
      </c>
      <c r="AI39" s="297">
        <f t="shared" si="32"/>
        <v>0</v>
      </c>
      <c r="AJ39" s="297">
        <f t="shared" si="32"/>
        <v>1.4100906699194182</v>
      </c>
      <c r="AK39" s="297">
        <f t="shared" si="32"/>
        <v>0.92170699746948215</v>
      </c>
      <c r="AL39" s="297">
        <f t="shared" si="32"/>
        <v>0.81938585735062797</v>
      </c>
      <c r="AM39" s="297">
        <f t="shared" si="32"/>
        <v>0.7887624281381157</v>
      </c>
      <c r="AN39" s="297">
        <f t="shared" si="32"/>
        <v>1.2094988925656598</v>
      </c>
      <c r="AO39" s="297">
        <f t="shared" si="32"/>
        <v>1.2551649579383566</v>
      </c>
      <c r="AP39" s="297">
        <f t="shared" si="32"/>
        <v>1.2802438781225616</v>
      </c>
      <c r="AQ39" s="297">
        <f t="shared" si="32"/>
        <v>1.4649225238196717</v>
      </c>
      <c r="AR39" s="297">
        <f t="shared" si="32"/>
        <v>1.4797322829144925</v>
      </c>
      <c r="AS39" s="297">
        <f t="shared" si="32"/>
        <v>1.4719784084738174</v>
      </c>
      <c r="AT39" s="297">
        <f t="shared" si="32"/>
        <v>1.2330884758287628</v>
      </c>
      <c r="AU39" s="297">
        <f t="shared" si="32"/>
        <v>1.3934264139600574</v>
      </c>
      <c r="AV39" s="297"/>
      <c r="AW39" s="297">
        <f t="shared" ref="AW39:BH39" si="33">(AW15/AW5)</f>
        <v>1.1806347279495024</v>
      </c>
      <c r="AX39" s="297">
        <f t="shared" si="33"/>
        <v>1.0717346750611192</v>
      </c>
      <c r="AY39" s="297">
        <f t="shared" si="33"/>
        <v>0.89294461601175856</v>
      </c>
      <c r="AZ39" s="297">
        <f t="shared" si="33"/>
        <v>0.87667124604207947</v>
      </c>
      <c r="BA39" s="297">
        <f t="shared" si="33"/>
        <v>1.2972195253246288</v>
      </c>
      <c r="BB39" s="297">
        <f t="shared" si="33"/>
        <v>1.4178401978987119</v>
      </c>
      <c r="BC39" s="297">
        <f t="shared" si="33"/>
        <v>1.4257632336081609</v>
      </c>
      <c r="BD39" s="297">
        <f t="shared" si="33"/>
        <v>1.4694826554263731</v>
      </c>
      <c r="BE39" s="297">
        <f t="shared" si="33"/>
        <v>1.63176595122524</v>
      </c>
      <c r="BF39" s="297">
        <f t="shared" si="33"/>
        <v>1.6966129917713322</v>
      </c>
      <c r="BG39" s="297">
        <f t="shared" si="33"/>
        <v>1.3424697275505337</v>
      </c>
      <c r="BH39" s="297">
        <f t="shared" si="33"/>
        <v>1.569100845984323</v>
      </c>
      <c r="BI39" s="297"/>
      <c r="BJ39" s="297">
        <f t="shared" ref="BJ39:BO39" si="34">(BJ15/BJ5)</f>
        <v>1.2814969607929476</v>
      </c>
      <c r="BK39" s="297">
        <f t="shared" si="34"/>
        <v>1.1925476817359455</v>
      </c>
      <c r="BL39" s="297">
        <f t="shared" si="34"/>
        <v>0.93177624846914042</v>
      </c>
      <c r="BM39" s="297">
        <f t="shared" si="34"/>
        <v>0.96118589819643319</v>
      </c>
      <c r="BN39" s="297">
        <f t="shared" si="34"/>
        <v>1.4646684286241569</v>
      </c>
      <c r="BO39" s="297">
        <f t="shared" si="34"/>
        <v>1.4840932762927388</v>
      </c>
    </row>
    <row r="40" spans="1:67" x14ac:dyDescent="0.2">
      <c r="A40" s="109">
        <v>37</v>
      </c>
      <c r="B40" s="288" t="s">
        <v>42</v>
      </c>
      <c r="C40" s="297">
        <f t="shared" ref="C40:H40" si="35">C17/C6</f>
        <v>19.414428076313182</v>
      </c>
      <c r="D40" s="297">
        <f t="shared" si="35"/>
        <v>149.62555882730146</v>
      </c>
      <c r="E40" s="297">
        <f t="shared" si="35"/>
        <v>93.131261889214954</v>
      </c>
      <c r="F40" s="297">
        <f t="shared" si="35"/>
        <v>60.074337946063977</v>
      </c>
      <c r="G40" s="297">
        <f t="shared" si="35"/>
        <v>0</v>
      </c>
      <c r="H40" s="297">
        <f t="shared" si="35"/>
        <v>59.421478332237911</v>
      </c>
      <c r="I40" s="297"/>
      <c r="J40" s="297" t="e">
        <f t="shared" ref="J40:U40" si="36">J17/J6</f>
        <v>#DIV/0!</v>
      </c>
      <c r="K40" s="298">
        <f t="shared" si="36"/>
        <v>29.334813568523479</v>
      </c>
      <c r="L40" s="297">
        <f t="shared" si="36"/>
        <v>34.830684755927358</v>
      </c>
      <c r="M40" s="297">
        <f t="shared" si="36"/>
        <v>106.02354952683622</v>
      </c>
      <c r="N40" s="297">
        <f t="shared" si="36"/>
        <v>62.993852563252531</v>
      </c>
      <c r="O40" s="297">
        <f t="shared" si="36"/>
        <v>45.885251171123912</v>
      </c>
      <c r="P40" s="297">
        <f t="shared" si="36"/>
        <v>32.218307022113507</v>
      </c>
      <c r="Q40" s="297">
        <f t="shared" si="36"/>
        <v>193.69924228115028</v>
      </c>
      <c r="R40" s="297">
        <f t="shared" si="36"/>
        <v>132.45808825023451</v>
      </c>
      <c r="S40" s="297">
        <f t="shared" si="36"/>
        <v>88.716653324375045</v>
      </c>
      <c r="T40" s="297">
        <f t="shared" si="36"/>
        <v>75.841203731224908</v>
      </c>
      <c r="U40" s="297">
        <f t="shared" si="36"/>
        <v>81.331152181321855</v>
      </c>
      <c r="V40" s="297"/>
      <c r="W40" s="297">
        <f t="shared" ref="W40:AU40" si="37">W17/W6</f>
        <v>618.52143742502994</v>
      </c>
      <c r="X40" s="297">
        <f t="shared" si="37"/>
        <v>48.027107265682993</v>
      </c>
      <c r="Y40" s="297">
        <f t="shared" si="37"/>
        <v>47.864289681157238</v>
      </c>
      <c r="Z40" s="297">
        <f t="shared" si="37"/>
        <v>150.25268388860218</v>
      </c>
      <c r="AA40" s="297">
        <f t="shared" si="37"/>
        <v>92.666924760897643</v>
      </c>
      <c r="AB40" s="297">
        <f t="shared" si="37"/>
        <v>62.08728790568918</v>
      </c>
      <c r="AC40" s="297">
        <f t="shared" si="37"/>
        <v>33.074134370407428</v>
      </c>
      <c r="AD40" s="297">
        <f t="shared" si="37"/>
        <v>277.47530603829159</v>
      </c>
      <c r="AE40" s="297">
        <f t="shared" si="37"/>
        <v>125.83330400811396</v>
      </c>
      <c r="AF40" s="297">
        <f t="shared" si="37"/>
        <v>89.721323995433394</v>
      </c>
      <c r="AG40" s="297">
        <f t="shared" si="37"/>
        <v>81.91079844450978</v>
      </c>
      <c r="AH40" s="297">
        <f t="shared" si="37"/>
        <v>80.320551076407412</v>
      </c>
      <c r="AI40" s="297">
        <f t="shared" si="37"/>
        <v>0</v>
      </c>
      <c r="AJ40" s="297">
        <f t="shared" si="37"/>
        <v>54.653026536495872</v>
      </c>
      <c r="AK40" s="297">
        <f t="shared" si="37"/>
        <v>39.399378123588711</v>
      </c>
      <c r="AL40" s="297">
        <f t="shared" si="37"/>
        <v>49.282074633052027</v>
      </c>
      <c r="AM40" s="297">
        <f t="shared" si="37"/>
        <v>159.72165882265753</v>
      </c>
      <c r="AN40" s="297">
        <f t="shared" si="37"/>
        <v>93.365767970445816</v>
      </c>
      <c r="AO40" s="297">
        <f t="shared" si="37"/>
        <v>54.353214111234998</v>
      </c>
      <c r="AP40" s="297">
        <f t="shared" si="37"/>
        <v>26.636278772931217</v>
      </c>
      <c r="AQ40" s="297">
        <f t="shared" si="37"/>
        <v>297.59878286637303</v>
      </c>
      <c r="AR40" s="297">
        <f t="shared" si="37"/>
        <v>113.65902166275609</v>
      </c>
      <c r="AS40" s="297">
        <f t="shared" si="37"/>
        <v>96.167886309998806</v>
      </c>
      <c r="AT40" s="297">
        <f t="shared" si="37"/>
        <v>68.149647833135433</v>
      </c>
      <c r="AU40" s="297">
        <f t="shared" si="37"/>
        <v>72.889715835642207</v>
      </c>
      <c r="AV40" s="297"/>
      <c r="AW40" s="297">
        <f t="shared" ref="AW40:BH40" si="38">AW17/AW6</f>
        <v>43.790112049130698</v>
      </c>
      <c r="AX40" s="297">
        <f t="shared" si="38"/>
        <v>37.040911399875611</v>
      </c>
      <c r="AY40" s="297">
        <f t="shared" si="38"/>
        <v>40.625990470454241</v>
      </c>
      <c r="AZ40" s="297">
        <f t="shared" si="38"/>
        <v>142.63334233581668</v>
      </c>
      <c r="BA40" s="297">
        <f t="shared" si="38"/>
        <v>91.218765117261015</v>
      </c>
      <c r="BB40" s="297">
        <f t="shared" si="38"/>
        <v>47.613063038190674</v>
      </c>
      <c r="BC40" s="297">
        <f t="shared" si="38"/>
        <v>26.269531888305441</v>
      </c>
      <c r="BD40" s="297">
        <f t="shared" si="38"/>
        <v>191.82652913526374</v>
      </c>
      <c r="BE40" s="297">
        <f t="shared" si="38"/>
        <v>111.67021390645263</v>
      </c>
      <c r="BF40" s="297">
        <f t="shared" si="38"/>
        <v>91.41850768197223</v>
      </c>
      <c r="BG40" s="297">
        <f t="shared" si="38"/>
        <v>66.869785053411832</v>
      </c>
      <c r="BH40" s="297">
        <f t="shared" si="38"/>
        <v>75.682923478704936</v>
      </c>
      <c r="BI40" s="297"/>
      <c r="BJ40" s="297">
        <f t="shared" ref="BJ40:BO40" si="39">BJ17/BJ6</f>
        <v>44.456455708645812</v>
      </c>
      <c r="BK40" s="297">
        <f t="shared" si="39"/>
        <v>35.568023316519685</v>
      </c>
      <c r="BL40" s="297">
        <f t="shared" si="39"/>
        <v>37.668797295649433</v>
      </c>
      <c r="BM40" s="297">
        <f t="shared" si="39"/>
        <v>115.42326069023221</v>
      </c>
      <c r="BN40" s="297">
        <f t="shared" si="39"/>
        <v>88.750316905528351</v>
      </c>
      <c r="BO40" s="297">
        <f t="shared" si="39"/>
        <v>46.123628024287129</v>
      </c>
    </row>
    <row r="41" spans="1:67" x14ac:dyDescent="0.2">
      <c r="A41" s="109">
        <v>38</v>
      </c>
      <c r="B41" s="288" t="s">
        <v>43</v>
      </c>
      <c r="C41" s="297">
        <f t="shared" ref="C41:H41" si="40">C14/C6</f>
        <v>10.681811687236708</v>
      </c>
      <c r="D41" s="297">
        <f t="shared" si="40"/>
        <v>0</v>
      </c>
      <c r="E41" s="297">
        <f t="shared" si="40"/>
        <v>23.26732752131009</v>
      </c>
      <c r="F41" s="297">
        <f t="shared" si="40"/>
        <v>15.030848560080029</v>
      </c>
      <c r="G41" s="297">
        <f t="shared" si="40"/>
        <v>0</v>
      </c>
      <c r="H41" s="297">
        <f t="shared" si="40"/>
        <v>15.171390135992512</v>
      </c>
      <c r="I41" s="297"/>
      <c r="J41" s="297" t="e">
        <f t="shared" ref="J41:U41" si="41">J14/J6</f>
        <v>#DIV/0!</v>
      </c>
      <c r="K41" s="298">
        <f t="shared" si="41"/>
        <v>11.504538060893092</v>
      </c>
      <c r="L41" s="297">
        <f t="shared" si="41"/>
        <v>10.349189960889106</v>
      </c>
      <c r="M41" s="297">
        <f t="shared" si="41"/>
        <v>41.514484863740648</v>
      </c>
      <c r="N41" s="297">
        <f t="shared" si="41"/>
        <v>22.716276928233828</v>
      </c>
      <c r="O41" s="297">
        <f t="shared" si="41"/>
        <v>18.871237889930395</v>
      </c>
      <c r="P41" s="297">
        <f t="shared" si="41"/>
        <v>10.215205019903182</v>
      </c>
      <c r="Q41" s="297">
        <f t="shared" si="41"/>
        <v>0</v>
      </c>
      <c r="R41" s="297">
        <f t="shared" si="41"/>
        <v>25.81697649473189</v>
      </c>
      <c r="S41" s="297">
        <f t="shared" si="41"/>
        <v>16.260696023116601</v>
      </c>
      <c r="T41" s="297">
        <f t="shared" si="41"/>
        <v>13.483570869119488</v>
      </c>
      <c r="U41" s="297">
        <f t="shared" si="41"/>
        <v>10.622160364038619</v>
      </c>
      <c r="V41" s="297"/>
      <c r="W41" s="297">
        <f t="shared" ref="W41:AU41" si="42">W14/W6</f>
        <v>136.56446196521392</v>
      </c>
      <c r="X41" s="297">
        <f t="shared" si="42"/>
        <v>10.337784477508087</v>
      </c>
      <c r="Y41" s="297">
        <f t="shared" si="42"/>
        <v>10.753063393105723</v>
      </c>
      <c r="Z41" s="297">
        <f t="shared" si="42"/>
        <v>39.474956209380622</v>
      </c>
      <c r="AA41" s="297">
        <f t="shared" si="42"/>
        <v>21.421118454572255</v>
      </c>
      <c r="AB41" s="297">
        <f t="shared" si="42"/>
        <v>16.202134163805926</v>
      </c>
      <c r="AC41" s="297">
        <f t="shared" si="42"/>
        <v>9.9991309967411688</v>
      </c>
      <c r="AD41" s="297">
        <f t="shared" si="42"/>
        <v>0</v>
      </c>
      <c r="AE41" s="297">
        <f t="shared" si="42"/>
        <v>26.541834296630157</v>
      </c>
      <c r="AF41" s="297">
        <f t="shared" si="42"/>
        <v>20.646732187410031</v>
      </c>
      <c r="AG41" s="297">
        <f t="shared" si="42"/>
        <v>16.423977719617536</v>
      </c>
      <c r="AH41" s="297">
        <f t="shared" si="42"/>
        <v>11.643967867611209</v>
      </c>
      <c r="AI41" s="297">
        <f t="shared" si="42"/>
        <v>0</v>
      </c>
      <c r="AJ41" s="297">
        <f t="shared" si="42"/>
        <v>13.487227405757219</v>
      </c>
      <c r="AK41" s="297">
        <f t="shared" si="42"/>
        <v>8.6424027945956876</v>
      </c>
      <c r="AL41" s="297">
        <f t="shared" si="42"/>
        <v>11.20230057997559</v>
      </c>
      <c r="AM41" s="297">
        <f t="shared" si="42"/>
        <v>47.153793982658087</v>
      </c>
      <c r="AN41" s="297">
        <f t="shared" si="42"/>
        <v>22.242730944231091</v>
      </c>
      <c r="AO41" s="297">
        <f t="shared" si="42"/>
        <v>13.939779657560909</v>
      </c>
      <c r="AP41" s="297">
        <f t="shared" si="42"/>
        <v>10.737789856608565</v>
      </c>
      <c r="AQ41" s="297">
        <f t="shared" si="42"/>
        <v>0</v>
      </c>
      <c r="AR41" s="297">
        <f t="shared" si="42"/>
        <v>28.03791133372598</v>
      </c>
      <c r="AS41" s="297">
        <f t="shared" si="42"/>
        <v>24.422296551607044</v>
      </c>
      <c r="AT41" s="297">
        <f t="shared" si="42"/>
        <v>15.66722942306259</v>
      </c>
      <c r="AU41" s="297">
        <f t="shared" si="42"/>
        <v>14.547586304485732</v>
      </c>
      <c r="AV41" s="297"/>
      <c r="AW41" s="297">
        <f t="shared" ref="AW41:BH41" si="43">AW14/AW6</f>
        <v>13.048174258282156</v>
      </c>
      <c r="AX41" s="297">
        <f t="shared" si="43"/>
        <v>10.792416818474779</v>
      </c>
      <c r="AY41" s="297">
        <f t="shared" si="43"/>
        <v>10.457692734757559</v>
      </c>
      <c r="AZ41" s="297">
        <f t="shared" si="43"/>
        <v>43.045050169138825</v>
      </c>
      <c r="BA41" s="297">
        <f t="shared" si="43"/>
        <v>25.235279496698709</v>
      </c>
      <c r="BB41" s="297">
        <f t="shared" si="43"/>
        <v>14.045999149895511</v>
      </c>
      <c r="BC41" s="297">
        <f t="shared" si="43"/>
        <v>11.103574046712566</v>
      </c>
      <c r="BD41" s="297">
        <f t="shared" si="43"/>
        <v>8.3377968339050845</v>
      </c>
      <c r="BE41" s="297">
        <f t="shared" si="43"/>
        <v>28.168487358537977</v>
      </c>
      <c r="BF41" s="297">
        <f t="shared" si="43"/>
        <v>22.155890338074219</v>
      </c>
      <c r="BG41" s="297">
        <f t="shared" si="43"/>
        <v>15.425141092830414</v>
      </c>
      <c r="BH41" s="297">
        <f t="shared" si="43"/>
        <v>15.309052721239954</v>
      </c>
      <c r="BI41" s="297"/>
      <c r="BJ41" s="297">
        <f t="shared" ref="BJ41:BO41" si="44">BJ14/BJ6</f>
        <v>12.799691284425489</v>
      </c>
      <c r="BK41" s="297">
        <f t="shared" si="44"/>
        <v>11.31075994425866</v>
      </c>
      <c r="BL41" s="297">
        <f t="shared" si="44"/>
        <v>10.335871010714786</v>
      </c>
      <c r="BM41" s="297">
        <f t="shared" si="44"/>
        <v>37.481445001640282</v>
      </c>
      <c r="BN41" s="297">
        <f t="shared" si="44"/>
        <v>25.145677621820536</v>
      </c>
      <c r="BO41" s="297">
        <f t="shared" si="44"/>
        <v>14.556737631483577</v>
      </c>
    </row>
    <row r="42" spans="1:67" x14ac:dyDescent="0.2">
      <c r="A42" s="109">
        <v>39</v>
      </c>
      <c r="B42" s="288" t="s">
        <v>44</v>
      </c>
      <c r="C42" s="297">
        <f t="shared" ref="C42:H42" si="45">C13/C6</f>
        <v>8.4021773869489511</v>
      </c>
      <c r="D42" s="297">
        <f t="shared" si="45"/>
        <v>148.97743186225676</v>
      </c>
      <c r="E42" s="297">
        <f t="shared" si="45"/>
        <v>62.801428714802746</v>
      </c>
      <c r="F42" s="297">
        <f t="shared" si="45"/>
        <v>45.043489385983946</v>
      </c>
      <c r="G42" s="297">
        <f t="shared" si="45"/>
        <v>0</v>
      </c>
      <c r="H42" s="297">
        <f t="shared" si="45"/>
        <v>38.283757538660211</v>
      </c>
      <c r="I42" s="297"/>
      <c r="J42" s="297" t="e">
        <f t="shared" ref="J42:U42" si="46">J13/J6</f>
        <v>#DIV/0!</v>
      </c>
      <c r="K42" s="298">
        <f t="shared" si="46"/>
        <v>16.560526512434681</v>
      </c>
      <c r="L42" s="297">
        <f t="shared" si="46"/>
        <v>27.360094518917347</v>
      </c>
      <c r="M42" s="297">
        <f t="shared" si="46"/>
        <v>62.569394898824328</v>
      </c>
      <c r="N42" s="297">
        <f t="shared" si="46"/>
        <v>39.898324518220406</v>
      </c>
      <c r="O42" s="297">
        <f t="shared" si="46"/>
        <v>22.83910098567684</v>
      </c>
      <c r="P42" s="297">
        <f t="shared" si="46"/>
        <v>21.672010465345554</v>
      </c>
      <c r="Q42" s="297">
        <f t="shared" si="46"/>
        <v>193.94094751114739</v>
      </c>
      <c r="R42" s="297">
        <f t="shared" si="46"/>
        <v>101.86850367380622</v>
      </c>
      <c r="S42" s="297">
        <f t="shared" si="46"/>
        <v>72.455957301258437</v>
      </c>
      <c r="T42" s="297">
        <f t="shared" si="46"/>
        <v>65.110530643101399</v>
      </c>
      <c r="U42" s="297">
        <f t="shared" si="46"/>
        <v>58.884399622736787</v>
      </c>
      <c r="V42" s="297"/>
      <c r="W42" s="297">
        <f t="shared" ref="W42:AU42" si="47">W13/W6</f>
        <v>566.06990528788481</v>
      </c>
      <c r="X42" s="297">
        <f t="shared" si="47"/>
        <v>24.273758191954215</v>
      </c>
      <c r="Y42" s="297">
        <f t="shared" si="47"/>
        <v>41.396871092779051</v>
      </c>
      <c r="Z42" s="297">
        <f t="shared" si="47"/>
        <v>138.04363340060814</v>
      </c>
      <c r="AA42" s="297">
        <f t="shared" si="47"/>
        <v>72.364651426401807</v>
      </c>
      <c r="AB42" s="297">
        <f t="shared" si="47"/>
        <v>40.793198845291101</v>
      </c>
      <c r="AC42" s="297">
        <f t="shared" si="47"/>
        <v>22.525031238125088</v>
      </c>
      <c r="AD42" s="297">
        <f t="shared" si="47"/>
        <v>276.87776141384387</v>
      </c>
      <c r="AE42" s="297">
        <f t="shared" si="47"/>
        <v>93.299621092820445</v>
      </c>
      <c r="AF42" s="297">
        <f t="shared" si="47"/>
        <v>69.074591808023357</v>
      </c>
      <c r="AG42" s="297">
        <f t="shared" si="47"/>
        <v>66.154871701033954</v>
      </c>
      <c r="AH42" s="297">
        <f t="shared" si="47"/>
        <v>58.236574126178901</v>
      </c>
      <c r="AI42" s="297">
        <f t="shared" si="47"/>
        <v>0</v>
      </c>
      <c r="AJ42" s="297">
        <f t="shared" si="47"/>
        <v>47.203507010876685</v>
      </c>
      <c r="AK42" s="297">
        <f t="shared" si="47"/>
        <v>21.293389402262001</v>
      </c>
      <c r="AL42" s="297">
        <f t="shared" si="47"/>
        <v>60.665558692252837</v>
      </c>
      <c r="AM42" s="297">
        <f t="shared" si="47"/>
        <v>114.81373628608438</v>
      </c>
      <c r="AN42" s="297">
        <f t="shared" si="47"/>
        <v>71.58842687287806</v>
      </c>
      <c r="AO42" s="297">
        <f t="shared" si="47"/>
        <v>35.968770312150717</v>
      </c>
      <c r="AP42" s="297">
        <f t="shared" si="47"/>
        <v>15.526592719964246</v>
      </c>
      <c r="AQ42" s="297">
        <f t="shared" si="47"/>
        <v>296.96533247920445</v>
      </c>
      <c r="AR42" s="297">
        <f t="shared" si="47"/>
        <v>84.00635615763845</v>
      </c>
      <c r="AS42" s="297">
        <f t="shared" si="47"/>
        <v>71.745589758391773</v>
      </c>
      <c r="AT42" s="297">
        <f t="shared" si="47"/>
        <v>51.8847648853693</v>
      </c>
      <c r="AU42" s="297">
        <f t="shared" si="47"/>
        <v>48.897625730544959</v>
      </c>
      <c r="AV42" s="297"/>
      <c r="AW42" s="297">
        <f t="shared" ref="AW42:BH42" si="48">AW13/AW6</f>
        <v>33.358188737998447</v>
      </c>
      <c r="AX42" s="297">
        <f t="shared" si="48"/>
        <v>17.479000218910166</v>
      </c>
      <c r="AY42" s="297">
        <f t="shared" si="48"/>
        <v>33.379404966210075</v>
      </c>
      <c r="AZ42" s="297">
        <f t="shared" si="48"/>
        <v>107.82257723259512</v>
      </c>
      <c r="BA42" s="297">
        <f t="shared" si="48"/>
        <v>59.697692839937005</v>
      </c>
      <c r="BB42" s="297">
        <f t="shared" si="48"/>
        <v>29.833100306462001</v>
      </c>
      <c r="BC42" s="297">
        <f t="shared" si="48"/>
        <v>14.877027850197839</v>
      </c>
      <c r="BD42" s="297">
        <f t="shared" si="48"/>
        <v>186.76664907947386</v>
      </c>
      <c r="BE42" s="297">
        <f t="shared" si="48"/>
        <v>80.011022773787005</v>
      </c>
      <c r="BF42" s="297">
        <f t="shared" si="48"/>
        <v>69.262617343898</v>
      </c>
      <c r="BG42" s="297">
        <f t="shared" si="48"/>
        <v>47.712534934112533</v>
      </c>
      <c r="BH42" s="297">
        <f t="shared" si="48"/>
        <v>55.652880745385104</v>
      </c>
      <c r="BI42" s="297"/>
      <c r="BJ42" s="297">
        <f t="shared" ref="BJ42:BO42" si="49">BJ13/BJ6</f>
        <v>31.193293193385234</v>
      </c>
      <c r="BK42" s="297">
        <f t="shared" si="49"/>
        <v>18.063067246135997</v>
      </c>
      <c r="BL42" s="297">
        <f t="shared" si="49"/>
        <v>31.880712482331838</v>
      </c>
      <c r="BM42" s="297">
        <f t="shared" si="49"/>
        <v>74.274059620914542</v>
      </c>
      <c r="BN42" s="297">
        <f t="shared" si="49"/>
        <v>59.879546614228971</v>
      </c>
      <c r="BO42" s="297">
        <f t="shared" si="49"/>
        <v>31.044037473121953</v>
      </c>
    </row>
    <row r="43" spans="1:67" x14ac:dyDescent="0.2">
      <c r="A43" s="109">
        <v>40</v>
      </c>
      <c r="B43" s="288" t="s">
        <v>50</v>
      </c>
      <c r="C43" s="297">
        <f t="shared" ref="C43:H43" si="50">C30/C18</f>
        <v>34.326683291770607</v>
      </c>
      <c r="D43" s="297">
        <f t="shared" si="50"/>
        <v>51.796992481203006</v>
      </c>
      <c r="E43" s="297" t="e">
        <f t="shared" si="50"/>
        <v>#VALUE!</v>
      </c>
      <c r="F43" s="297">
        <f t="shared" si="50"/>
        <v>12.984962406015038</v>
      </c>
      <c r="G43" s="297" t="e">
        <f t="shared" si="50"/>
        <v>#DIV/0!</v>
      </c>
      <c r="H43" s="297">
        <f t="shared" si="50"/>
        <v>10.805111821086262</v>
      </c>
      <c r="I43" s="297"/>
      <c r="J43" s="297" t="e">
        <f t="shared" ref="J43:U43" si="51">J30/J18</f>
        <v>#DIV/0!</v>
      </c>
      <c r="K43" s="298">
        <f t="shared" si="51"/>
        <v>39.913821138211382</v>
      </c>
      <c r="L43" s="297">
        <f t="shared" si="51"/>
        <v>41.427586206896549</v>
      </c>
      <c r="M43" s="297">
        <f t="shared" si="51"/>
        <v>55.557480207547172</v>
      </c>
      <c r="N43" s="297" t="e">
        <f t="shared" si="51"/>
        <v>#VALUE!</v>
      </c>
      <c r="O43" s="297" t="e">
        <f t="shared" si="51"/>
        <v>#VALUE!</v>
      </c>
      <c r="P43" s="297">
        <f t="shared" si="51"/>
        <v>19.21805035971223</v>
      </c>
      <c r="Q43" s="297">
        <f t="shared" si="51"/>
        <v>48.962406015037594</v>
      </c>
      <c r="R43" s="297">
        <f t="shared" si="51"/>
        <v>12.166666666666666</v>
      </c>
      <c r="S43" s="297">
        <f t="shared" si="51"/>
        <v>11.116788321167883</v>
      </c>
      <c r="T43" s="297">
        <f t="shared" si="51"/>
        <v>36.130434782608695</v>
      </c>
      <c r="U43" s="297">
        <f t="shared" si="51"/>
        <v>29.09009009009009</v>
      </c>
      <c r="V43" s="297"/>
      <c r="W43" s="297">
        <f t="shared" ref="W43:AU43" si="52">W30/W18</f>
        <v>27.651139742319128</v>
      </c>
      <c r="X43" s="297">
        <f t="shared" si="52"/>
        <v>35.4</v>
      </c>
      <c r="Y43" s="297">
        <f t="shared" si="52"/>
        <v>41.262806236080181</v>
      </c>
      <c r="Z43" s="297">
        <f t="shared" si="52"/>
        <v>54.517201886792449</v>
      </c>
      <c r="AA43" s="297" t="e">
        <f t="shared" si="52"/>
        <v>#DIV/0!</v>
      </c>
      <c r="AB43" s="297" t="e">
        <f t="shared" si="52"/>
        <v>#DIV/0!</v>
      </c>
      <c r="AC43" s="297">
        <f t="shared" si="52"/>
        <v>14.138200647249191</v>
      </c>
      <c r="AD43" s="297">
        <f t="shared" si="52"/>
        <v>50.714285714285715</v>
      </c>
      <c r="AE43" s="297">
        <f t="shared" si="52"/>
        <v>13.59</v>
      </c>
      <c r="AF43" s="297">
        <f t="shared" si="52"/>
        <v>13.044982698961938</v>
      </c>
      <c r="AG43" s="297">
        <f t="shared" si="52"/>
        <v>39.79710144927536</v>
      </c>
      <c r="AH43" s="297">
        <f t="shared" si="52"/>
        <v>43.146788990825691</v>
      </c>
      <c r="AI43" s="297">
        <f t="shared" si="52"/>
        <v>0</v>
      </c>
      <c r="AJ43" s="297">
        <f t="shared" si="52"/>
        <v>16.2748643761302</v>
      </c>
      <c r="AK43" s="297">
        <f t="shared" si="52"/>
        <v>32.152278177458037</v>
      </c>
      <c r="AL43" s="297">
        <f t="shared" si="52"/>
        <v>34.936915887850468</v>
      </c>
      <c r="AM43" s="297">
        <f t="shared" si="52"/>
        <v>50.378863701215806</v>
      </c>
      <c r="AN43" s="297" t="e">
        <f t="shared" si="52"/>
        <v>#DIV/0!</v>
      </c>
      <c r="AO43" s="297" t="e">
        <f t="shared" si="52"/>
        <v>#DIV/0!</v>
      </c>
      <c r="AP43" s="297">
        <f t="shared" si="52"/>
        <v>40.443544025157237</v>
      </c>
      <c r="AQ43" s="297">
        <f t="shared" si="52"/>
        <v>50.676691729323309</v>
      </c>
      <c r="AR43" s="297">
        <f t="shared" si="52"/>
        <v>13.272881355932203</v>
      </c>
      <c r="AS43" s="297">
        <f t="shared" si="52"/>
        <v>10.772036474164134</v>
      </c>
      <c r="AT43" s="297">
        <f t="shared" si="52"/>
        <v>37.981949458483754</v>
      </c>
      <c r="AU43" s="297">
        <f t="shared" si="52"/>
        <v>44.334375000000001</v>
      </c>
      <c r="AV43" s="297"/>
      <c r="AW43" s="297">
        <f t="shared" ref="AW43:BH43" si="53">AW30/AW18</f>
        <v>19.555143651529193</v>
      </c>
      <c r="AX43" s="297">
        <f t="shared" si="53"/>
        <v>37.402160864345738</v>
      </c>
      <c r="AY43" s="297">
        <f t="shared" si="53"/>
        <v>34.938356164383563</v>
      </c>
      <c r="AZ43" s="297">
        <f t="shared" si="53"/>
        <v>51.562471855384622</v>
      </c>
      <c r="BA43" s="297" t="e">
        <f t="shared" si="53"/>
        <v>#DIV/0!</v>
      </c>
      <c r="BB43" s="297" t="e">
        <f t="shared" si="53"/>
        <v>#DIV/0!</v>
      </c>
      <c r="BC43" s="297">
        <f t="shared" si="53"/>
        <v>37.340574088440654</v>
      </c>
      <c r="BD43" s="297">
        <f t="shared" si="53"/>
        <v>38.458823529411767</v>
      </c>
      <c r="BE43" s="297">
        <f t="shared" si="53"/>
        <v>13.913559322033898</v>
      </c>
      <c r="BF43" s="297">
        <f t="shared" si="53"/>
        <v>6.5789473684210522</v>
      </c>
      <c r="BG43" s="297">
        <f t="shared" si="53"/>
        <v>38.245551601423486</v>
      </c>
      <c r="BH43" s="297">
        <f t="shared" si="53"/>
        <v>36.444099378881987</v>
      </c>
      <c r="BI43" s="297"/>
      <c r="BJ43" s="297">
        <f t="shared" ref="BJ43:BO43" si="54">BJ30/BJ18</f>
        <v>31.458699472759228</v>
      </c>
      <c r="BK43" s="297">
        <f t="shared" si="54"/>
        <v>34.232613908872899</v>
      </c>
      <c r="BL43" s="297">
        <f t="shared" si="54"/>
        <v>35.591324200913242</v>
      </c>
      <c r="BM43" s="297">
        <f t="shared" si="54"/>
        <v>49.992610008797655</v>
      </c>
      <c r="BN43" s="109" t="e">
        <f t="shared" si="54"/>
        <v>#DIV/0!</v>
      </c>
      <c r="BO43" s="297" t="e">
        <f t="shared" si="54"/>
        <v>#DIV/0!</v>
      </c>
    </row>
    <row r="44" spans="1:67" x14ac:dyDescent="0.2">
      <c r="A44" s="109">
        <v>41</v>
      </c>
      <c r="B44" s="288" t="s">
        <v>51</v>
      </c>
      <c r="C44" s="297">
        <f t="shared" ref="C44:H44" si="55">(C30/C6)*100000</f>
        <v>22.978375644714045</v>
      </c>
      <c r="D44" s="297">
        <f t="shared" si="55"/>
        <v>446.21979482568992</v>
      </c>
      <c r="E44" s="297">
        <f t="shared" si="55"/>
        <v>82.564054182693752</v>
      </c>
      <c r="F44" s="297">
        <f t="shared" si="55"/>
        <v>33.888088072138657</v>
      </c>
      <c r="G44" s="297">
        <f t="shared" si="55"/>
        <v>0</v>
      </c>
      <c r="H44" s="297">
        <f t="shared" si="55"/>
        <v>26.787579877600876</v>
      </c>
      <c r="I44" s="297"/>
      <c r="J44" s="297" t="e">
        <f t="shared" ref="J44:U44" si="56">(J30/J6)*100000</f>
        <v>#DIV/0!</v>
      </c>
      <c r="K44" s="298">
        <f t="shared" si="56"/>
        <v>60.179756223322769</v>
      </c>
      <c r="L44" s="297">
        <f t="shared" si="56"/>
        <v>94.928742338234883</v>
      </c>
      <c r="M44" s="297">
        <f t="shared" si="56"/>
        <v>292.38790122022488</v>
      </c>
      <c r="N44" s="297">
        <f t="shared" si="56"/>
        <v>165.73720435918469</v>
      </c>
      <c r="O44" s="297">
        <f t="shared" si="56"/>
        <v>0</v>
      </c>
      <c r="P44" s="297">
        <f t="shared" si="56"/>
        <v>20.438423490200556</v>
      </c>
      <c r="Q44" s="297">
        <f t="shared" si="56"/>
        <v>549.1058479098225</v>
      </c>
      <c r="R44" s="297">
        <f t="shared" si="56"/>
        <v>95.977000579952346</v>
      </c>
      <c r="S44" s="297">
        <f t="shared" si="56"/>
        <v>43.257711865863037</v>
      </c>
      <c r="T44" s="297">
        <f t="shared" si="56"/>
        <v>86.413062410647143</v>
      </c>
      <c r="U44" s="297">
        <f t="shared" si="56"/>
        <v>109.68033396625691</v>
      </c>
      <c r="V44" s="297"/>
      <c r="W44" s="297">
        <f t="shared" ref="W44:AU44" si="57">(W30/W6)*100000</f>
        <v>697.22111155537777</v>
      </c>
      <c r="X44" s="297">
        <f t="shared" si="57"/>
        <v>75.65773595398025</v>
      </c>
      <c r="Y44" s="297">
        <f t="shared" si="57"/>
        <v>128.59882532014873</v>
      </c>
      <c r="Z44" s="297">
        <f t="shared" si="57"/>
        <v>418.68179669898541</v>
      </c>
      <c r="AA44" s="297">
        <f t="shared" si="57"/>
        <v>234.71537423448669</v>
      </c>
      <c r="AB44" s="297">
        <f t="shared" si="57"/>
        <v>97.962169716978622</v>
      </c>
      <c r="AC44" s="297">
        <f t="shared" si="57"/>
        <v>14.522811591211584</v>
      </c>
      <c r="AD44" s="297">
        <f t="shared" si="57"/>
        <v>794.69808541973498</v>
      </c>
      <c r="AE44" s="297">
        <f t="shared" si="57"/>
        <v>96.874208827956323</v>
      </c>
      <c r="AF44" s="297">
        <f t="shared" si="57"/>
        <v>55.91823300756883</v>
      </c>
      <c r="AG44" s="297">
        <f t="shared" si="57"/>
        <v>98.717783257305797</v>
      </c>
      <c r="AH44" s="297">
        <f t="shared" si="57"/>
        <v>154.61709392848732</v>
      </c>
      <c r="AI44" s="297">
        <f t="shared" si="57"/>
        <v>0</v>
      </c>
      <c r="AJ44" s="297">
        <f t="shared" si="57"/>
        <v>39.313327217926876</v>
      </c>
      <c r="AK44" s="297">
        <f t="shared" si="57"/>
        <v>80.45436810662234</v>
      </c>
      <c r="AL44" s="297">
        <f t="shared" si="57"/>
        <v>101.02364728944427</v>
      </c>
      <c r="AM44" s="297">
        <f t="shared" si="57"/>
        <v>413.58891697028361</v>
      </c>
      <c r="AN44" s="297">
        <f t="shared" si="57"/>
        <v>224.9958256804141</v>
      </c>
      <c r="AO44" s="297">
        <f t="shared" si="57"/>
        <v>103.85630163310449</v>
      </c>
      <c r="AP44" s="297">
        <f t="shared" si="57"/>
        <v>32.318537992104147</v>
      </c>
      <c r="AQ44" s="297">
        <f t="shared" si="57"/>
        <v>714.83797889637071</v>
      </c>
      <c r="AR44" s="297">
        <f t="shared" si="57"/>
        <v>80.198292864994144</v>
      </c>
      <c r="AS44" s="297">
        <f t="shared" si="57"/>
        <v>48.138275294157602</v>
      </c>
      <c r="AT44" s="297">
        <f t="shared" si="57"/>
        <v>74.540825750245517</v>
      </c>
      <c r="AU44" s="297">
        <f t="shared" si="57"/>
        <v>126.41823986994434</v>
      </c>
      <c r="AV44" s="297"/>
      <c r="AW44" s="297">
        <f t="shared" ref="AW44:BH44" si="58">(AW30/AW6)*100000</f>
        <v>36.502032696133554</v>
      </c>
      <c r="AX44" s="297">
        <f t="shared" si="58"/>
        <v>75.680926725530469</v>
      </c>
      <c r="AY44" s="297">
        <f t="shared" si="58"/>
        <v>83.457695461598547</v>
      </c>
      <c r="AZ44" s="297">
        <f t="shared" si="58"/>
        <v>347.60793963025935</v>
      </c>
      <c r="BA44" s="297">
        <f t="shared" si="58"/>
        <v>212.9504574830772</v>
      </c>
      <c r="BB44" s="297">
        <f t="shared" si="58"/>
        <v>89.979284955811707</v>
      </c>
      <c r="BC44" s="297">
        <f t="shared" si="58"/>
        <v>26.728884712259031</v>
      </c>
      <c r="BD44" s="297">
        <f t="shared" si="58"/>
        <v>436.10012560057146</v>
      </c>
      <c r="BE44" s="297">
        <f t="shared" si="58"/>
        <v>76.593433118463054</v>
      </c>
      <c r="BF44" s="297">
        <f t="shared" si="58"/>
        <v>39.604502647221537</v>
      </c>
      <c r="BG44" s="297">
        <f t="shared" si="58"/>
        <v>67.777570499205424</v>
      </c>
      <c r="BH44" s="297">
        <f t="shared" si="58"/>
        <v>97.34742170770356</v>
      </c>
      <c r="BI44" s="297"/>
      <c r="BJ44" s="297">
        <f t="shared" ref="BJ44:BO44" si="59">(BJ30/BJ6)*100000</f>
        <v>56.761427597469513</v>
      </c>
      <c r="BK44" s="297">
        <f t="shared" si="59"/>
        <v>60.614390862738311</v>
      </c>
      <c r="BL44" s="297">
        <f t="shared" si="59"/>
        <v>74.723003852292237</v>
      </c>
      <c r="BM44" s="297">
        <f t="shared" si="59"/>
        <v>267.71385235306582</v>
      </c>
      <c r="BN44" s="297">
        <f t="shared" si="59"/>
        <v>209.58342830715023</v>
      </c>
      <c r="BO44" s="297">
        <f t="shared" si="59"/>
        <v>76.964489090339853</v>
      </c>
    </row>
    <row r="45" spans="1:67" x14ac:dyDescent="0.2">
      <c r="A45" s="109">
        <v>42</v>
      </c>
      <c r="B45" s="288" t="s">
        <v>53</v>
      </c>
      <c r="C45" s="297">
        <f t="shared" ref="C45:H45" si="60">(C30/C7)*100000</f>
        <v>2.8401397999823574</v>
      </c>
      <c r="D45" s="297">
        <f t="shared" si="60"/>
        <v>17.948494620493033</v>
      </c>
      <c r="E45" s="297">
        <f t="shared" si="60"/>
        <v>5.134767021491232</v>
      </c>
      <c r="F45" s="297">
        <f t="shared" si="60"/>
        <v>5.0084584801474588</v>
      </c>
      <c r="G45" s="297">
        <f t="shared" si="60"/>
        <v>0</v>
      </c>
      <c r="H45" s="297">
        <f t="shared" si="60"/>
        <v>2.3374851551135145</v>
      </c>
      <c r="I45" s="297"/>
      <c r="J45" s="297" t="e">
        <f t="shared" ref="J45:U45" si="61">(J30/J7)*100000</f>
        <v>#DIV/0!</v>
      </c>
      <c r="K45" s="298">
        <f t="shared" si="61"/>
        <v>5.7314053546021686</v>
      </c>
      <c r="L45" s="297">
        <f t="shared" si="61"/>
        <v>10.166783714530931</v>
      </c>
      <c r="M45" s="297">
        <f t="shared" si="61"/>
        <v>32.487544580024981</v>
      </c>
      <c r="N45" s="297">
        <f t="shared" si="61"/>
        <v>16.573720435918467</v>
      </c>
      <c r="O45" s="297">
        <f t="shared" si="61"/>
        <v>0</v>
      </c>
      <c r="P45" s="297">
        <f t="shared" si="61"/>
        <v>2.8443392318461789</v>
      </c>
      <c r="Q45" s="297">
        <f t="shared" si="61"/>
        <v>22.882022337871543</v>
      </c>
      <c r="R45" s="297">
        <f t="shared" si="61"/>
        <v>8.8260478299982292</v>
      </c>
      <c r="S45" s="297">
        <f t="shared" si="61"/>
        <v>5.3002076964514329</v>
      </c>
      <c r="T45" s="297">
        <f t="shared" si="61"/>
        <v>8.6267335562524448</v>
      </c>
      <c r="U45" s="297">
        <f t="shared" si="61"/>
        <v>7.7787470898054547</v>
      </c>
      <c r="V45" s="297"/>
      <c r="W45" s="297">
        <f t="shared" ref="W45:AU45" si="62">(W30/W7)*100000</f>
        <v>9.285453439593045</v>
      </c>
      <c r="X45" s="297">
        <f t="shared" si="62"/>
        <v>7.2054986622838335</v>
      </c>
      <c r="Y45" s="297">
        <f t="shared" si="62"/>
        <v>13.676244804206215</v>
      </c>
      <c r="Z45" s="297">
        <f t="shared" si="62"/>
        <v>46.520199633220606</v>
      </c>
      <c r="AA45" s="297">
        <f t="shared" si="62"/>
        <v>23.47153742344867</v>
      </c>
      <c r="AB45" s="297">
        <f t="shared" si="62"/>
        <v>7.7813129576042677</v>
      </c>
      <c r="AC45" s="297">
        <f t="shared" si="62"/>
        <v>1.9516525295100142</v>
      </c>
      <c r="AD45" s="297">
        <f t="shared" si="62"/>
        <v>30.375527079568478</v>
      </c>
      <c r="AE45" s="297">
        <f t="shared" si="62"/>
        <v>8.9664819839690661</v>
      </c>
      <c r="AF45" s="297">
        <f t="shared" si="62"/>
        <v>6.83334122399968</v>
      </c>
      <c r="AG45" s="297">
        <f t="shared" si="62"/>
        <v>9.8928001976254372</v>
      </c>
      <c r="AH45" s="297">
        <f t="shared" si="62"/>
        <v>11.254430788995744</v>
      </c>
      <c r="AI45" s="297">
        <f t="shared" si="62"/>
        <v>0</v>
      </c>
      <c r="AJ45" s="297">
        <f t="shared" si="62"/>
        <v>5.1697581269782491</v>
      </c>
      <c r="AK45" s="297">
        <f t="shared" si="62"/>
        <v>7.6623207720592692</v>
      </c>
      <c r="AL45" s="297">
        <f t="shared" si="62"/>
        <v>10.743767693258469</v>
      </c>
      <c r="AM45" s="297">
        <f t="shared" si="62"/>
        <v>45.954324107809292</v>
      </c>
      <c r="AN45" s="297">
        <f t="shared" si="62"/>
        <v>22.499582568041408</v>
      </c>
      <c r="AO45" s="297">
        <f t="shared" si="62"/>
        <v>9.224335262833625</v>
      </c>
      <c r="AP45" s="297">
        <f t="shared" si="62"/>
        <v>6.7778903820816865</v>
      </c>
      <c r="AQ45" s="297">
        <f t="shared" si="62"/>
        <v>25.620648813661326</v>
      </c>
      <c r="AR45" s="297">
        <f t="shared" si="62"/>
        <v>7.4405855561255265</v>
      </c>
      <c r="AS45" s="297">
        <f t="shared" si="62"/>
        <v>5.2931315017286167</v>
      </c>
      <c r="AT45" s="297">
        <f t="shared" si="62"/>
        <v>7.4019449400053574</v>
      </c>
      <c r="AU45" s="297">
        <f t="shared" si="62"/>
        <v>10.17448769478654</v>
      </c>
      <c r="AV45" s="297"/>
      <c r="AW45" s="297">
        <f t="shared" ref="AW45:BH45" si="63">(AW30/AW7)*100000</f>
        <v>4.9809833021458072</v>
      </c>
      <c r="AX45" s="297">
        <f t="shared" si="63"/>
        <v>10.122835685436501</v>
      </c>
      <c r="AY45" s="297">
        <f t="shared" si="63"/>
        <v>8.8472079895693714</v>
      </c>
      <c r="AZ45" s="297">
        <f t="shared" si="63"/>
        <v>38.623104403362149</v>
      </c>
      <c r="BA45" s="297">
        <f t="shared" si="63"/>
        <v>21.295045748307722</v>
      </c>
      <c r="BB45" s="297">
        <f t="shared" si="63"/>
        <v>10.305530525480233</v>
      </c>
      <c r="BC45" s="297">
        <f t="shared" si="63"/>
        <v>5.6783546930780577</v>
      </c>
      <c r="BD45" s="297">
        <f t="shared" si="63"/>
        <v>21.315925523108234</v>
      </c>
      <c r="BE45" s="297">
        <f t="shared" si="63"/>
        <v>7.160263112847848</v>
      </c>
      <c r="BF45" s="297">
        <f t="shared" si="63"/>
        <v>5.024019983082546</v>
      </c>
      <c r="BG45" s="297">
        <f t="shared" si="63"/>
        <v>6.7051333309118242</v>
      </c>
      <c r="BH45" s="297">
        <f t="shared" si="63"/>
        <v>8.5024497887229984</v>
      </c>
      <c r="BI45" s="297"/>
      <c r="BJ45" s="297">
        <f t="shared" ref="BJ45:BO45" si="64">(BJ30/BJ7)*100000</f>
        <v>7.4574480099637501</v>
      </c>
      <c r="BK45" s="297">
        <f t="shared" si="64"/>
        <v>5.7727991297846017</v>
      </c>
      <c r="BL45" s="297">
        <f t="shared" si="64"/>
        <v>8.2161134262618543</v>
      </c>
      <c r="BM45" s="297">
        <f t="shared" si="64"/>
        <v>29.745983594785091</v>
      </c>
      <c r="BN45" s="297">
        <f t="shared" si="64"/>
        <v>20.958342830715026</v>
      </c>
      <c r="BO45" s="297">
        <f t="shared" si="64"/>
        <v>9.5247761710623653</v>
      </c>
    </row>
    <row r="46" spans="1:67" x14ac:dyDescent="0.2">
      <c r="A46" s="109">
        <v>43</v>
      </c>
      <c r="B46" s="288" t="s">
        <v>76</v>
      </c>
      <c r="C46" s="299">
        <f>(C30*1000)/C4</f>
        <v>0.5704545723186587</v>
      </c>
      <c r="D46" s="299">
        <f t="shared" ref="D46:H46" si="65">(D30*1000)/D4</f>
        <v>1.4199017920154073</v>
      </c>
      <c r="E46" s="299">
        <f t="shared" si="65"/>
        <v>0.4308474786993976</v>
      </c>
      <c r="F46" s="299">
        <f t="shared" si="65"/>
        <v>0.28872481933382976</v>
      </c>
      <c r="G46" s="299">
        <f t="shared" si="65"/>
        <v>0</v>
      </c>
      <c r="H46" s="299">
        <f t="shared" si="65"/>
        <v>0.25559333362404368</v>
      </c>
      <c r="I46" s="299"/>
      <c r="J46" s="299" t="e">
        <f t="shared" ref="J46:U46" si="66">(J30*1000)/J4</f>
        <v>#DIV/0!</v>
      </c>
      <c r="K46" s="300">
        <f t="shared" si="66"/>
        <v>0.90447590645327669</v>
      </c>
      <c r="L46" s="299">
        <f t="shared" si="66"/>
        <v>0.96694648430631525</v>
      </c>
      <c r="M46" s="299">
        <f t="shared" si="66"/>
        <v>0.98151548366666663</v>
      </c>
      <c r="N46" s="299">
        <f t="shared" si="66"/>
        <v>0.9193129409605042</v>
      </c>
      <c r="O46" s="299">
        <f t="shared" si="66"/>
        <v>0</v>
      </c>
      <c r="P46" s="299">
        <f t="shared" si="66"/>
        <v>0.3257895381376279</v>
      </c>
      <c r="Q46" s="299">
        <f t="shared" si="66"/>
        <v>1.4199230555209104</v>
      </c>
      <c r="R46" s="299">
        <f t="shared" si="66"/>
        <v>0.36826650530271665</v>
      </c>
      <c r="S46" s="299">
        <f t="shared" si="66"/>
        <v>0.2602755212068581</v>
      </c>
      <c r="T46" s="299">
        <f t="shared" si="66"/>
        <v>0.51014564166954723</v>
      </c>
      <c r="U46" s="299">
        <f t="shared" si="66"/>
        <v>0.74536747994078922</v>
      </c>
      <c r="V46" s="299"/>
      <c r="W46" s="299">
        <f t="shared" ref="W46:AU46" si="67">(W30*1000)/W4</f>
        <v>0.63755407384027885</v>
      </c>
      <c r="X46" s="299">
        <f t="shared" si="67"/>
        <v>0.76386323780240017</v>
      </c>
      <c r="Y46" s="299">
        <f t="shared" si="67"/>
        <v>0.97947226603158255</v>
      </c>
      <c r="Z46" s="299">
        <f t="shared" si="67"/>
        <v>0.96892277890425715</v>
      </c>
      <c r="AA46" s="299">
        <f t="shared" si="67"/>
        <v>0.92020906006351155</v>
      </c>
      <c r="AB46" s="299">
        <f t="shared" si="67"/>
        <v>0.80925654638750388</v>
      </c>
      <c r="AC46" s="299">
        <f t="shared" si="67"/>
        <v>0.2229659454231005</v>
      </c>
      <c r="AD46" s="299">
        <f t="shared" si="67"/>
        <v>1.4199165985829465</v>
      </c>
      <c r="AE46" s="299">
        <f t="shared" si="67"/>
        <v>0.38901691789443471</v>
      </c>
      <c r="AF46" s="299">
        <f t="shared" si="67"/>
        <v>0.36669763008282308</v>
      </c>
      <c r="AG46" s="299">
        <f t="shared" si="67"/>
        <v>0.56046020599872026</v>
      </c>
      <c r="AH46" s="299">
        <f t="shared" si="67"/>
        <v>1.1126183650400785</v>
      </c>
      <c r="AI46" s="299">
        <f t="shared" si="67"/>
        <v>0</v>
      </c>
      <c r="AJ46" s="299">
        <f t="shared" si="67"/>
        <v>0.45469144953992174</v>
      </c>
      <c r="AK46" s="299">
        <f t="shared" si="67"/>
        <v>0.90699596385611547</v>
      </c>
      <c r="AL46" s="299">
        <f t="shared" si="67"/>
        <v>0.76266679478938371</v>
      </c>
      <c r="AM46" s="299">
        <f t="shared" si="67"/>
        <v>0.92677339471732922</v>
      </c>
      <c r="AN46" s="299">
        <f t="shared" si="67"/>
        <v>1.0201412441385844</v>
      </c>
      <c r="AO46" s="299">
        <f t="shared" si="67"/>
        <v>0.95933087014262641</v>
      </c>
      <c r="AP46" s="299">
        <f t="shared" si="67"/>
        <v>0.65954087179487175</v>
      </c>
      <c r="AQ46" s="299">
        <f t="shared" si="67"/>
        <v>1.4199984662331107</v>
      </c>
      <c r="AR46" s="299">
        <f t="shared" si="67"/>
        <v>0.37061354075449837</v>
      </c>
      <c r="AS46" s="299">
        <f t="shared" si="67"/>
        <v>0.33823542464436368</v>
      </c>
      <c r="AT46" s="299">
        <f t="shared" si="67"/>
        <v>0.53917555491496105</v>
      </c>
      <c r="AU46" s="299">
        <f t="shared" si="67"/>
        <v>1.1312978530937929</v>
      </c>
      <c r="AV46" s="299"/>
      <c r="AW46" s="299">
        <f t="shared" ref="AW46:BH46" si="68">(AW30*1000)/AW4</f>
        <v>0.46255001102776222</v>
      </c>
      <c r="AX46" s="299">
        <f t="shared" si="68"/>
        <v>1.0628977486975528</v>
      </c>
      <c r="AY46" s="299">
        <f t="shared" si="68"/>
        <v>0.80713958024100363</v>
      </c>
      <c r="AZ46" s="299">
        <f t="shared" si="68"/>
        <v>0.97240792643036711</v>
      </c>
      <c r="BA46" s="299">
        <f t="shared" si="68"/>
        <v>1.0599269293735922</v>
      </c>
      <c r="BB46" s="299">
        <f t="shared" si="68"/>
        <v>1.0717751730125247</v>
      </c>
      <c r="BC46" s="299">
        <f t="shared" si="68"/>
        <v>0.61922462633017172</v>
      </c>
      <c r="BD46" s="299">
        <f t="shared" si="68"/>
        <v>1.4198123102808917</v>
      </c>
      <c r="BE46" s="299">
        <f t="shared" si="68"/>
        <v>0.37457589284492054</v>
      </c>
      <c r="BF46" s="299">
        <f t="shared" si="68"/>
        <v>0.33173997045808173</v>
      </c>
      <c r="BG46" s="299">
        <f t="shared" si="68"/>
        <v>0.54816851680554501</v>
      </c>
      <c r="BH46" s="299">
        <f t="shared" si="68"/>
        <v>0.95249466347312428</v>
      </c>
      <c r="BI46" s="299"/>
      <c r="BJ46" s="299">
        <f t="shared" ref="BJ46:BO46" si="69">(BJ30*1000)/BJ4</f>
        <v>0.7724431968360036</v>
      </c>
      <c r="BK46" s="299">
        <f t="shared" si="69"/>
        <v>0.96352108529837888</v>
      </c>
      <c r="BL46" s="299">
        <f t="shared" si="69"/>
        <v>0.81344933513601236</v>
      </c>
      <c r="BM46" s="299">
        <f t="shared" si="69"/>
        <v>1.0138215913951945</v>
      </c>
      <c r="BN46" s="299">
        <f t="shared" si="69"/>
        <v>1.2105825022108916</v>
      </c>
      <c r="BO46" s="299">
        <f t="shared" si="69"/>
        <v>0.99057672316786149</v>
      </c>
    </row>
  </sheetData>
  <mergeCells count="7">
    <mergeCell ref="BC2:BO2"/>
    <mergeCell ref="A2:A3"/>
    <mergeCell ref="B2:B3"/>
    <mergeCell ref="C2:O2"/>
    <mergeCell ref="P2:AB2"/>
    <mergeCell ref="AC2:AO2"/>
    <mergeCell ref="AP2:BB2"/>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F0716-0AB1-4DD4-987F-913A81B10DCA}">
  <sheetPr>
    <tabColor theme="7" tint="-0.249977111117893"/>
  </sheetPr>
  <dimension ref="A2:V40"/>
  <sheetViews>
    <sheetView workbookViewId="0">
      <pane xSplit="2" ySplit="3" topLeftCell="C4" activePane="bottomRight" state="frozen"/>
      <selection activeCell="C45" sqref="C45"/>
      <selection pane="topRight" activeCell="C45" sqref="C45"/>
      <selection pane="bottomLeft" activeCell="C45" sqref="C45"/>
      <selection pane="bottomRight" activeCell="I27" sqref="I27:U31"/>
    </sheetView>
  </sheetViews>
  <sheetFormatPr baseColWidth="10" defaultColWidth="11.42578125" defaultRowHeight="12" x14ac:dyDescent="0.2"/>
  <cols>
    <col min="1" max="1" width="2.85546875" style="2" bestFit="1" customWidth="1"/>
    <col min="2" max="2" width="31" style="2" bestFit="1" customWidth="1"/>
    <col min="3" max="3" width="11.42578125" style="2" bestFit="1" customWidth="1"/>
    <col min="4" max="4" width="10" style="2" bestFit="1" customWidth="1"/>
    <col min="5" max="5" width="9.85546875" style="2" bestFit="1" customWidth="1"/>
    <col min="6" max="6" width="9.140625" style="2" bestFit="1" customWidth="1"/>
    <col min="7" max="7" width="11.42578125" style="2" bestFit="1" customWidth="1"/>
    <col min="8" max="8" width="10" style="2" bestFit="1" customWidth="1"/>
    <col min="9" max="9" width="10.85546875" style="2" bestFit="1" customWidth="1"/>
    <col min="10" max="10" width="9.140625" style="2" bestFit="1" customWidth="1"/>
    <col min="11" max="12" width="11.42578125" style="2" bestFit="1" customWidth="1"/>
    <col min="13" max="13" width="10" style="2" bestFit="1" customWidth="1"/>
    <col min="14" max="14" width="9.140625" style="2" bestFit="1" customWidth="1"/>
    <col min="15" max="16" width="11.42578125" style="2" bestFit="1" customWidth="1"/>
    <col min="17" max="17" width="10" style="2" bestFit="1" customWidth="1"/>
    <col min="18" max="18" width="9.140625" style="2" bestFit="1" customWidth="1"/>
    <col min="19" max="20" width="11.42578125" style="2" bestFit="1" customWidth="1"/>
    <col min="21" max="21" width="10" style="2" bestFit="1" customWidth="1"/>
    <col min="22" max="22" width="9.140625" style="2" bestFit="1" customWidth="1"/>
    <col min="23" max="16384" width="11.42578125" style="2"/>
  </cols>
  <sheetData>
    <row r="2" spans="1:22" x14ac:dyDescent="0.2">
      <c r="A2" s="374" t="s">
        <v>0</v>
      </c>
      <c r="B2" s="376" t="s">
        <v>1</v>
      </c>
      <c r="C2" s="373">
        <v>2019</v>
      </c>
      <c r="D2" s="373"/>
      <c r="E2" s="373"/>
      <c r="F2" s="373"/>
      <c r="G2" s="373">
        <v>2020</v>
      </c>
      <c r="H2" s="373"/>
      <c r="I2" s="373"/>
      <c r="J2" s="373"/>
      <c r="K2" s="373">
        <v>2021</v>
      </c>
      <c r="L2" s="373"/>
      <c r="M2" s="373"/>
      <c r="N2" s="373"/>
      <c r="O2" s="373">
        <v>2022</v>
      </c>
      <c r="P2" s="373"/>
      <c r="Q2" s="373"/>
      <c r="R2" s="373"/>
      <c r="S2" s="373">
        <v>2023</v>
      </c>
      <c r="T2" s="373"/>
      <c r="U2" s="373"/>
      <c r="V2" s="373"/>
    </row>
    <row r="3" spans="1:22" ht="36.75" thickBot="1" x14ac:dyDescent="0.25">
      <c r="A3" s="375"/>
      <c r="B3" s="377"/>
      <c r="C3" s="268" t="s">
        <v>32</v>
      </c>
      <c r="D3" s="268" t="s">
        <v>33</v>
      </c>
      <c r="E3" s="268" t="s">
        <v>34</v>
      </c>
      <c r="F3" s="268" t="s">
        <v>35</v>
      </c>
      <c r="G3" s="268" t="s">
        <v>32</v>
      </c>
      <c r="H3" s="268" t="s">
        <v>33</v>
      </c>
      <c r="I3" s="268" t="s">
        <v>97</v>
      </c>
      <c r="J3" s="268" t="s">
        <v>35</v>
      </c>
      <c r="K3" s="268" t="s">
        <v>32</v>
      </c>
      <c r="L3" s="268" t="s">
        <v>33</v>
      </c>
      <c r="M3" s="268" t="s">
        <v>34</v>
      </c>
      <c r="N3" s="268" t="s">
        <v>35</v>
      </c>
      <c r="O3" s="268" t="s">
        <v>32</v>
      </c>
      <c r="P3" s="268" t="s">
        <v>33</v>
      </c>
      <c r="Q3" s="268" t="s">
        <v>34</v>
      </c>
      <c r="R3" s="268" t="s">
        <v>35</v>
      </c>
      <c r="S3" s="268" t="s">
        <v>32</v>
      </c>
      <c r="T3" s="268" t="s">
        <v>33</v>
      </c>
      <c r="U3" s="268" t="s">
        <v>34</v>
      </c>
      <c r="V3" s="268" t="s">
        <v>35</v>
      </c>
    </row>
    <row r="4" spans="1:22" x14ac:dyDescent="0.2">
      <c r="A4" s="2">
        <v>1</v>
      </c>
      <c r="B4" s="3" t="s">
        <v>10</v>
      </c>
      <c r="C4" s="4">
        <v>44836910</v>
      </c>
      <c r="D4" s="4">
        <v>4613545</v>
      </c>
      <c r="E4" s="4"/>
      <c r="F4" s="4">
        <v>340487.20800000004</v>
      </c>
      <c r="G4" s="4">
        <v>45628906</v>
      </c>
      <c r="H4" s="4">
        <v>4505762</v>
      </c>
      <c r="I4" s="4">
        <v>2166853</v>
      </c>
      <c r="J4" s="4">
        <v>340487.20800000004</v>
      </c>
      <c r="K4" s="4">
        <v>45684483</v>
      </c>
      <c r="L4" s="4">
        <v>4717769</v>
      </c>
      <c r="M4" s="4">
        <v>2235253</v>
      </c>
      <c r="N4" s="4">
        <v>333562</v>
      </c>
      <c r="O4" s="4">
        <v>45700000</v>
      </c>
      <c r="P4" s="4">
        <v>4800000</v>
      </c>
      <c r="Q4" s="4">
        <v>2327415</v>
      </c>
      <c r="R4" s="4">
        <v>335672</v>
      </c>
      <c r="S4" s="4">
        <v>44395959.630000003</v>
      </c>
      <c r="T4" s="4">
        <v>4716226</v>
      </c>
      <c r="U4" s="4">
        <v>2964418</v>
      </c>
      <c r="V4" s="4">
        <v>335020.71999999997</v>
      </c>
    </row>
    <row r="5" spans="1:22" x14ac:dyDescent="0.2">
      <c r="A5" s="2">
        <v>2</v>
      </c>
      <c r="B5" s="3" t="s">
        <v>11</v>
      </c>
      <c r="C5" s="4">
        <v>2063000000</v>
      </c>
      <c r="D5" s="4">
        <v>329000000</v>
      </c>
      <c r="E5" s="4"/>
      <c r="F5" s="4">
        <v>18045822.024000004</v>
      </c>
      <c r="G5" s="4">
        <v>2098929676.0000002</v>
      </c>
      <c r="H5" s="4">
        <v>321643658</v>
      </c>
      <c r="I5" s="4">
        <v>203778160</v>
      </c>
      <c r="J5" s="4">
        <v>18045822.024000004</v>
      </c>
      <c r="K5" s="4">
        <v>2101486218</v>
      </c>
      <c r="L5" s="4">
        <v>335288378</v>
      </c>
      <c r="M5" s="4">
        <v>192087865</v>
      </c>
      <c r="N5" s="4">
        <v>17678786</v>
      </c>
      <c r="O5" s="4">
        <v>2102474252</v>
      </c>
      <c r="P5" s="4">
        <v>336788090</v>
      </c>
      <c r="Q5" s="4">
        <v>217167592</v>
      </c>
      <c r="R5" s="4">
        <v>17790616</v>
      </c>
      <c r="S5" s="4">
        <v>2042214142.98</v>
      </c>
      <c r="T5" s="4">
        <v>320777216</v>
      </c>
      <c r="U5" s="4">
        <v>293291043</v>
      </c>
      <c r="V5" s="4">
        <v>17756098.16</v>
      </c>
    </row>
    <row r="6" spans="1:22" x14ac:dyDescent="0.2">
      <c r="A6" s="2">
        <v>3</v>
      </c>
      <c r="B6" s="3" t="s">
        <v>12</v>
      </c>
      <c r="C6" s="4">
        <v>119432262.11435369</v>
      </c>
      <c r="D6" s="4">
        <v>52727814.537044927</v>
      </c>
      <c r="E6" s="4"/>
      <c r="F6" s="4">
        <v>1100452</v>
      </c>
      <c r="G6" s="4">
        <v>74348676.297477126</v>
      </c>
      <c r="H6" s="4">
        <v>22222928.8826527</v>
      </c>
      <c r="I6" s="4">
        <v>12425000</v>
      </c>
      <c r="J6" s="4">
        <v>795799</v>
      </c>
      <c r="K6" s="4">
        <v>72582477.164421931</v>
      </c>
      <c r="L6" s="4">
        <v>27670768.794089943</v>
      </c>
      <c r="M6" s="4">
        <v>13901000</v>
      </c>
      <c r="N6" s="4">
        <v>791785</v>
      </c>
      <c r="O6" s="4">
        <v>100532127.60562047</v>
      </c>
      <c r="P6" s="4">
        <v>41544617.246254429</v>
      </c>
      <c r="Q6" s="4">
        <v>19122000</v>
      </c>
      <c r="R6" s="4">
        <v>1107913</v>
      </c>
      <c r="S6" s="4">
        <v>111322383.230561</v>
      </c>
      <c r="T6" s="4">
        <v>47871881.588326909</v>
      </c>
      <c r="U6" s="4">
        <v>24288000</v>
      </c>
      <c r="V6" s="4">
        <v>1266243</v>
      </c>
    </row>
    <row r="7" spans="1:22" x14ac:dyDescent="0.2">
      <c r="A7" s="2">
        <v>4</v>
      </c>
      <c r="B7" s="5" t="s">
        <v>13</v>
      </c>
      <c r="C7" s="4">
        <v>716593572.68612206</v>
      </c>
      <c r="D7" s="4">
        <v>168729006.51854378</v>
      </c>
      <c r="E7" s="4"/>
      <c r="F7" s="4">
        <v>5371103.7551503275</v>
      </c>
      <c r="G7" s="4">
        <v>401482852.0063765</v>
      </c>
      <c r="H7" s="4">
        <v>51112736.430101201</v>
      </c>
      <c r="I7" s="4">
        <v>60982765</v>
      </c>
      <c r="J7" s="4">
        <v>3883499</v>
      </c>
      <c r="K7" s="4">
        <v>420978367.55364698</v>
      </c>
      <c r="L7" s="4">
        <v>66409845.105815865</v>
      </c>
      <c r="M7" s="4">
        <v>70406428</v>
      </c>
      <c r="N7" s="4">
        <v>3863910.8</v>
      </c>
      <c r="O7" s="4">
        <v>543000000</v>
      </c>
      <c r="P7" s="4">
        <v>100000000</v>
      </c>
      <c r="Q7" s="4">
        <v>101501749</v>
      </c>
      <c r="R7" s="4">
        <v>5406615.4399999995</v>
      </c>
      <c r="S7" s="4">
        <v>590008631.12197328</v>
      </c>
      <c r="T7" s="4">
        <v>100530951.3354865</v>
      </c>
      <c r="U7" s="4">
        <v>132333825</v>
      </c>
      <c r="V7" s="4">
        <v>6179265.8399999999</v>
      </c>
    </row>
    <row r="8" spans="1:22" x14ac:dyDescent="0.2">
      <c r="A8" s="2">
        <v>5</v>
      </c>
      <c r="B8" s="6" t="s">
        <v>14</v>
      </c>
      <c r="C8" s="4">
        <v>5963309030</v>
      </c>
      <c r="D8" s="4">
        <v>683263635</v>
      </c>
      <c r="E8" s="4"/>
      <c r="F8" s="4">
        <v>46306260.288000003</v>
      </c>
      <c r="G8" s="4">
        <v>6068644498</v>
      </c>
      <c r="H8" s="4">
        <v>667659314</v>
      </c>
      <c r="I8" s="4">
        <v>553112148</v>
      </c>
      <c r="J8" s="4">
        <v>46306260.288000003</v>
      </c>
      <c r="K8" s="4">
        <v>6076036239</v>
      </c>
      <c r="L8" s="4">
        <v>694965654</v>
      </c>
      <c r="M8" s="4">
        <v>521381348</v>
      </c>
      <c r="N8" s="4">
        <v>45364432</v>
      </c>
      <c r="O8" s="4">
        <v>6079000000</v>
      </c>
      <c r="P8" s="4">
        <v>706000000</v>
      </c>
      <c r="Q8" s="4">
        <v>627608284</v>
      </c>
      <c r="R8" s="4">
        <v>45651392</v>
      </c>
      <c r="S8" s="4">
        <v>5904662630.79</v>
      </c>
      <c r="T8" s="4">
        <v>727645525</v>
      </c>
      <c r="U8" s="4">
        <v>796075689</v>
      </c>
      <c r="V8" s="4">
        <v>45562817.919999994</v>
      </c>
    </row>
    <row r="9" spans="1:22" x14ac:dyDescent="0.2">
      <c r="A9" s="2">
        <v>6</v>
      </c>
      <c r="B9" s="6" t="s">
        <v>15</v>
      </c>
      <c r="C9" s="4">
        <v>51562446.5</v>
      </c>
      <c r="D9" s="4">
        <v>5305576.75</v>
      </c>
      <c r="E9" s="4"/>
      <c r="F9" s="4">
        <v>340487.20800000004</v>
      </c>
      <c r="G9" s="4">
        <v>52473241.899999999</v>
      </c>
      <c r="H9" s="4">
        <v>5181626.3</v>
      </c>
      <c r="I9" s="4">
        <v>2491880.9499999997</v>
      </c>
      <c r="J9" s="4">
        <v>340487.20800000004</v>
      </c>
      <c r="K9" s="4">
        <v>52537155.449999996</v>
      </c>
      <c r="L9" s="4">
        <v>5425434.3499999987</v>
      </c>
      <c r="M9" s="4">
        <v>2570540.9499999997</v>
      </c>
      <c r="N9" s="4">
        <v>333562</v>
      </c>
      <c r="O9" s="4">
        <v>52555000</v>
      </c>
      <c r="P9" s="4">
        <v>5520000</v>
      </c>
      <c r="Q9" s="4">
        <v>2676527.25</v>
      </c>
      <c r="R9" s="4">
        <v>335672</v>
      </c>
      <c r="S9" s="4">
        <v>51055353.574499995</v>
      </c>
      <c r="T9" s="4">
        <v>5423659.8999999994</v>
      </c>
      <c r="U9" s="4">
        <v>3409080.6999999997</v>
      </c>
      <c r="V9" s="4">
        <v>335020.71999999997</v>
      </c>
    </row>
    <row r="10" spans="1:22" x14ac:dyDescent="0.2">
      <c r="A10" s="2">
        <v>7</v>
      </c>
      <c r="B10" s="3" t="s">
        <v>16</v>
      </c>
      <c r="C10" s="4">
        <v>267498059.3731918</v>
      </c>
      <c r="D10" s="4">
        <v>414444924.20252705</v>
      </c>
      <c r="E10" s="4"/>
      <c r="F10" s="4">
        <v>10448000</v>
      </c>
      <c r="G10" s="4">
        <v>685011948.97212565</v>
      </c>
      <c r="H10" s="4">
        <v>741759770.78539491</v>
      </c>
      <c r="I10" s="4">
        <v>92592532</v>
      </c>
      <c r="J10" s="4">
        <v>12142000</v>
      </c>
      <c r="K10" s="4">
        <v>674747389.45319593</v>
      </c>
      <c r="L10" s="4">
        <v>711977333.3616904</v>
      </c>
      <c r="M10" s="4">
        <v>116346058</v>
      </c>
      <c r="N10" s="4">
        <v>9783000</v>
      </c>
      <c r="O10" s="4">
        <v>519550461.65975368</v>
      </c>
      <c r="P10" s="4">
        <v>635014682.94645822</v>
      </c>
      <c r="Q10" s="4">
        <v>89495960</v>
      </c>
      <c r="R10" s="4">
        <v>27471000</v>
      </c>
      <c r="S10" s="4">
        <v>559806030.03687525</v>
      </c>
      <c r="T10" s="4">
        <v>676614670.33756971</v>
      </c>
      <c r="U10" s="4">
        <v>96523384</v>
      </c>
      <c r="V10" s="4">
        <v>28790000</v>
      </c>
    </row>
    <row r="11" spans="1:22" x14ac:dyDescent="0.2">
      <c r="A11" s="2">
        <v>8</v>
      </c>
      <c r="B11" s="7" t="s">
        <v>17</v>
      </c>
      <c r="C11" s="4">
        <v>0</v>
      </c>
      <c r="D11" s="4">
        <v>0</v>
      </c>
      <c r="E11" s="4"/>
      <c r="F11" s="4"/>
      <c r="G11" s="4">
        <v>0</v>
      </c>
      <c r="H11" s="4">
        <v>0</v>
      </c>
      <c r="I11" s="4"/>
      <c r="J11" s="4"/>
      <c r="K11" s="4">
        <v>0</v>
      </c>
      <c r="L11" s="4">
        <v>0</v>
      </c>
      <c r="M11" s="4"/>
      <c r="N11" s="4"/>
      <c r="O11" s="4">
        <v>40000000</v>
      </c>
      <c r="P11" s="4">
        <v>0</v>
      </c>
      <c r="Q11" s="4"/>
      <c r="R11" s="4"/>
      <c r="S11" s="4">
        <v>0</v>
      </c>
      <c r="T11" s="4">
        <v>0</v>
      </c>
      <c r="U11" s="4"/>
      <c r="V11" s="4"/>
    </row>
    <row r="12" spans="1:22" x14ac:dyDescent="0.2">
      <c r="A12" s="2">
        <v>9</v>
      </c>
      <c r="B12" s="7" t="s">
        <v>18</v>
      </c>
      <c r="C12" s="4">
        <v>322376000</v>
      </c>
      <c r="D12" s="4">
        <v>28644000</v>
      </c>
      <c r="E12" s="4"/>
      <c r="F12" s="4"/>
      <c r="G12" s="4">
        <v>318344000</v>
      </c>
      <c r="H12" s="4">
        <v>35238000</v>
      </c>
      <c r="I12" s="4"/>
      <c r="J12" s="4"/>
      <c r="K12" s="4">
        <v>327746000</v>
      </c>
      <c r="L12" s="4">
        <v>71436000</v>
      </c>
      <c r="M12" s="4"/>
      <c r="N12" s="4"/>
      <c r="O12" s="4">
        <v>353892000</v>
      </c>
      <c r="P12" s="4">
        <v>76594000</v>
      </c>
      <c r="Q12" s="4"/>
      <c r="R12" s="4"/>
      <c r="S12" s="4">
        <v>318802000</v>
      </c>
      <c r="T12" s="4">
        <v>83000000</v>
      </c>
      <c r="U12" s="4"/>
      <c r="V12" s="4"/>
    </row>
    <row r="13" spans="1:22" x14ac:dyDescent="0.2">
      <c r="A13" s="2">
        <v>10</v>
      </c>
      <c r="B13" s="7" t="s">
        <v>29</v>
      </c>
      <c r="C13" s="4">
        <f>SUM(C10:C12)</f>
        <v>589874059.37319183</v>
      </c>
      <c r="D13" s="4">
        <f t="shared" ref="D13:V13" si="0">SUM(D10:D12)</f>
        <v>443088924.20252705</v>
      </c>
      <c r="E13" s="4">
        <f t="shared" si="0"/>
        <v>0</v>
      </c>
      <c r="F13" s="4">
        <f t="shared" si="0"/>
        <v>10448000</v>
      </c>
      <c r="G13" s="4">
        <f t="shared" si="0"/>
        <v>1003355948.9721256</v>
      </c>
      <c r="H13" s="4">
        <f t="shared" si="0"/>
        <v>776997770.78539491</v>
      </c>
      <c r="I13" s="4">
        <f t="shared" si="0"/>
        <v>92592532</v>
      </c>
      <c r="J13" s="4">
        <f t="shared" si="0"/>
        <v>12142000</v>
      </c>
      <c r="K13" s="4">
        <f t="shared" si="0"/>
        <v>1002493389.4531959</v>
      </c>
      <c r="L13" s="4">
        <f t="shared" si="0"/>
        <v>783413333.3616904</v>
      </c>
      <c r="M13" s="4">
        <v>116346058</v>
      </c>
      <c r="N13" s="4">
        <f t="shared" si="0"/>
        <v>9783000</v>
      </c>
      <c r="O13" s="4">
        <f t="shared" si="0"/>
        <v>913442461.65975368</v>
      </c>
      <c r="P13" s="4">
        <f t="shared" si="0"/>
        <v>711608682.94645822</v>
      </c>
      <c r="Q13" s="4">
        <f t="shared" si="0"/>
        <v>89495960</v>
      </c>
      <c r="R13" s="4">
        <f t="shared" si="0"/>
        <v>27471000</v>
      </c>
      <c r="S13" s="4">
        <f t="shared" si="0"/>
        <v>878608030.03687525</v>
      </c>
      <c r="T13" s="4">
        <f t="shared" si="0"/>
        <v>759614670.33756971</v>
      </c>
      <c r="U13" s="4">
        <f t="shared" si="0"/>
        <v>96523384</v>
      </c>
      <c r="V13" s="4">
        <f t="shared" si="0"/>
        <v>28790000</v>
      </c>
    </row>
    <row r="14" spans="1:22" x14ac:dyDescent="0.2">
      <c r="A14" s="2">
        <v>11</v>
      </c>
      <c r="B14" s="8" t="s">
        <v>19</v>
      </c>
      <c r="C14" s="4">
        <v>1085113445.1477265</v>
      </c>
      <c r="D14" s="4">
        <v>479063692.46042144</v>
      </c>
      <c r="E14" s="4"/>
      <c r="F14" s="4">
        <v>14179617.857142856</v>
      </c>
      <c r="G14" s="4">
        <v>709766565.66624498</v>
      </c>
      <c r="H14" s="4">
        <v>212150272.17129937</v>
      </c>
      <c r="I14" s="4">
        <v>116161751</v>
      </c>
      <c r="J14" s="4">
        <v>0</v>
      </c>
      <c r="K14" s="4">
        <v>689617068.61001873</v>
      </c>
      <c r="L14" s="4">
        <v>262904149.9746376</v>
      </c>
      <c r="M14" s="4">
        <v>116350351</v>
      </c>
      <c r="N14" s="4">
        <v>8344531.2499999991</v>
      </c>
      <c r="O14" s="4">
        <v>1026907242.9058944</v>
      </c>
      <c r="P14" s="4">
        <v>424366512.17900491</v>
      </c>
      <c r="Q14" s="4">
        <v>178474627</v>
      </c>
      <c r="R14" s="4">
        <v>14348198.214285713</v>
      </c>
      <c r="S14" s="4">
        <v>1071571118.8629942</v>
      </c>
      <c r="T14" s="4">
        <v>460806930.52929097</v>
      </c>
      <c r="U14" s="4">
        <v>204858110</v>
      </c>
      <c r="V14" s="4">
        <v>16586630.357142856</v>
      </c>
    </row>
    <row r="15" spans="1:22" x14ac:dyDescent="0.2">
      <c r="A15" s="2">
        <v>12</v>
      </c>
      <c r="B15" s="7" t="s">
        <v>20</v>
      </c>
      <c r="C15" s="4">
        <v>1722942504.5209181</v>
      </c>
      <c r="D15" s="4">
        <v>945786616.66294849</v>
      </c>
      <c r="E15" s="4"/>
      <c r="F15" s="4">
        <v>24208884</v>
      </c>
      <c r="G15" s="4">
        <v>1737960105.0320938</v>
      </c>
      <c r="H15" s="4">
        <v>995037160.44852269</v>
      </c>
      <c r="I15" s="4">
        <v>208754283</v>
      </c>
      <c r="J15" s="4">
        <v>27005958</v>
      </c>
      <c r="K15" s="4">
        <v>1728711780.5273826</v>
      </c>
      <c r="L15" s="4">
        <v>1052287378.8441834</v>
      </c>
      <c r="M15" s="4">
        <v>232696410</v>
      </c>
      <c r="N15" s="4">
        <v>24879771</v>
      </c>
      <c r="O15" s="4">
        <v>1981094243.7674596</v>
      </c>
      <c r="P15" s="4">
        <v>1152475399.7674105</v>
      </c>
      <c r="Q15" s="4">
        <v>267970586</v>
      </c>
      <c r="R15" s="4">
        <v>23806400</v>
      </c>
      <c r="S15" s="4">
        <v>1986355197.1089594</v>
      </c>
      <c r="T15" s="4">
        <v>1238351965.0687268</v>
      </c>
      <c r="U15" s="4">
        <v>301381494</v>
      </c>
      <c r="V15" s="4">
        <v>27214444</v>
      </c>
    </row>
    <row r="16" spans="1:22" x14ac:dyDescent="0.2">
      <c r="A16" s="2">
        <v>13</v>
      </c>
      <c r="B16" s="9" t="s">
        <v>21</v>
      </c>
      <c r="C16" s="4">
        <v>0</v>
      </c>
      <c r="D16" s="4">
        <v>0</v>
      </c>
      <c r="E16" s="4"/>
      <c r="F16" s="4">
        <v>643000</v>
      </c>
      <c r="G16" s="4">
        <v>0</v>
      </c>
      <c r="H16" s="4">
        <v>0</v>
      </c>
      <c r="I16" s="4"/>
      <c r="J16" s="4">
        <v>495000</v>
      </c>
      <c r="K16" s="4">
        <v>0</v>
      </c>
      <c r="L16" s="4">
        <v>0</v>
      </c>
      <c r="M16" s="4"/>
      <c r="N16" s="4">
        <v>982000</v>
      </c>
      <c r="O16" s="4">
        <v>0</v>
      </c>
      <c r="P16" s="4">
        <v>0</v>
      </c>
      <c r="Q16" s="4"/>
      <c r="R16" s="4">
        <v>327000</v>
      </c>
      <c r="S16" s="4">
        <v>0</v>
      </c>
      <c r="T16" s="4">
        <v>0</v>
      </c>
      <c r="U16" s="4"/>
      <c r="V16" s="4">
        <v>1654000</v>
      </c>
    </row>
    <row r="17" spans="1:22" x14ac:dyDescent="0.2">
      <c r="A17" s="2">
        <v>14</v>
      </c>
      <c r="B17" s="9" t="s">
        <v>22</v>
      </c>
      <c r="C17" s="4">
        <v>1722942504.5209181</v>
      </c>
      <c r="D17" s="4">
        <v>945786616.66294849</v>
      </c>
      <c r="E17" s="4"/>
      <c r="F17" s="4">
        <v>24851884</v>
      </c>
      <c r="G17" s="4">
        <v>1737960105.0320938</v>
      </c>
      <c r="H17" s="4">
        <v>995037160.44852269</v>
      </c>
      <c r="I17" s="4">
        <v>208754283</v>
      </c>
      <c r="J17" s="4">
        <v>27500958</v>
      </c>
      <c r="K17" s="4">
        <v>1728711780.5273826</v>
      </c>
      <c r="L17" s="4">
        <v>1052287378.8441834</v>
      </c>
      <c r="M17" s="4">
        <v>232696410</v>
      </c>
      <c r="N17" s="4">
        <v>25861771</v>
      </c>
      <c r="O17" s="4">
        <v>1981094243.7674596</v>
      </c>
      <c r="P17" s="4">
        <v>1152475399.7674105</v>
      </c>
      <c r="Q17" s="4">
        <v>267970586</v>
      </c>
      <c r="R17" s="4">
        <v>24133400</v>
      </c>
      <c r="S17" s="4">
        <v>1986355197.1089594</v>
      </c>
      <c r="T17" s="4">
        <v>1238351965.0687268</v>
      </c>
      <c r="U17" s="4">
        <v>301381494</v>
      </c>
      <c r="V17" s="4">
        <v>28868444</v>
      </c>
    </row>
    <row r="18" spans="1:22" x14ac:dyDescent="0.2">
      <c r="A18" s="2">
        <v>15</v>
      </c>
      <c r="B18" s="9" t="s">
        <v>23</v>
      </c>
      <c r="C18" s="4"/>
      <c r="D18" s="4"/>
      <c r="E18" s="4"/>
      <c r="F18" s="4"/>
      <c r="G18" s="4"/>
      <c r="H18" s="4"/>
      <c r="I18" s="4"/>
      <c r="J18" s="4"/>
      <c r="K18" s="4"/>
      <c r="L18" s="4"/>
      <c r="M18" s="4"/>
      <c r="N18" s="4"/>
      <c r="O18" s="4"/>
      <c r="P18" s="4"/>
      <c r="Q18" s="4"/>
      <c r="R18" s="4"/>
      <c r="S18" s="4"/>
      <c r="T18" s="4"/>
      <c r="U18" s="4"/>
      <c r="V18" s="4"/>
    </row>
    <row r="19" spans="1:22" ht="12.75" x14ac:dyDescent="0.2">
      <c r="A19" s="2">
        <v>24</v>
      </c>
      <c r="B19" s="10" t="s">
        <v>24</v>
      </c>
      <c r="C19" s="44">
        <v>0</v>
      </c>
      <c r="D19" s="44">
        <v>0</v>
      </c>
      <c r="E19" s="44">
        <v>0</v>
      </c>
      <c r="F19" s="44">
        <v>0</v>
      </c>
      <c r="G19" s="44">
        <v>0</v>
      </c>
      <c r="H19" s="44">
        <v>0</v>
      </c>
      <c r="I19" s="44">
        <v>0</v>
      </c>
      <c r="J19" s="44">
        <v>0</v>
      </c>
      <c r="K19" s="44">
        <v>0</v>
      </c>
      <c r="L19" s="44">
        <v>0</v>
      </c>
      <c r="M19" s="44">
        <v>0</v>
      </c>
      <c r="N19" s="44">
        <v>0</v>
      </c>
      <c r="O19" s="44">
        <v>0</v>
      </c>
      <c r="P19" s="44">
        <v>0</v>
      </c>
      <c r="Q19" s="44">
        <v>0</v>
      </c>
      <c r="R19" s="44">
        <v>0</v>
      </c>
      <c r="S19" s="44">
        <v>0</v>
      </c>
      <c r="T19" s="44">
        <v>0</v>
      </c>
      <c r="U19" s="44">
        <v>0</v>
      </c>
      <c r="V19" s="44">
        <v>0</v>
      </c>
    </row>
    <row r="20" spans="1:22" x14ac:dyDescent="0.2">
      <c r="A20" s="2">
        <v>25</v>
      </c>
      <c r="B20" s="21" t="s">
        <v>37</v>
      </c>
      <c r="C20" s="4"/>
      <c r="D20" s="4"/>
      <c r="E20" s="4"/>
      <c r="F20" s="4"/>
      <c r="G20" s="4"/>
      <c r="H20" s="4"/>
      <c r="I20" s="4"/>
      <c r="J20" s="4"/>
      <c r="K20" s="4"/>
      <c r="L20" s="4"/>
      <c r="M20" s="4"/>
      <c r="N20" s="4"/>
      <c r="O20" s="4"/>
      <c r="P20" s="4"/>
      <c r="Q20" s="4"/>
      <c r="R20" s="4"/>
      <c r="S20" s="4"/>
      <c r="T20" s="4"/>
      <c r="U20" s="4"/>
      <c r="V20" s="4"/>
    </row>
    <row r="21" spans="1:22" x14ac:dyDescent="0.2">
      <c r="A21" s="2">
        <v>26</v>
      </c>
      <c r="B21" s="20" t="s">
        <v>36</v>
      </c>
      <c r="C21" s="87">
        <f t="shared" ref="C21:V21" si="1">(C7/C5)*100</f>
        <v>34.73551006718963</v>
      </c>
      <c r="D21" s="87">
        <f t="shared" si="1"/>
        <v>51.285412315666804</v>
      </c>
      <c r="E21" s="87"/>
      <c r="F21" s="87">
        <f t="shared" si="1"/>
        <v>29.763696815844902</v>
      </c>
      <c r="G21" s="87">
        <f t="shared" si="1"/>
        <v>19.127980160416602</v>
      </c>
      <c r="H21" s="87">
        <f t="shared" si="1"/>
        <v>15.8911065580846</v>
      </c>
      <c r="I21" s="87">
        <f t="shared" si="1"/>
        <v>29.926055373156768</v>
      </c>
      <c r="J21" s="87">
        <f t="shared" si="1"/>
        <v>21.520211131613447</v>
      </c>
      <c r="K21" s="87">
        <f t="shared" si="1"/>
        <v>20.032411535598612</v>
      </c>
      <c r="L21" s="87">
        <f t="shared" si="1"/>
        <v>19.806784088953975</v>
      </c>
      <c r="M21" s="87">
        <f t="shared" si="1"/>
        <v>36.653240953039898</v>
      </c>
      <c r="N21" s="87">
        <f t="shared" si="1"/>
        <v>21.856199854447016</v>
      </c>
      <c r="O21" s="87">
        <f t="shared" si="1"/>
        <v>25.826713429829912</v>
      </c>
      <c r="P21" s="87">
        <f t="shared" si="1"/>
        <v>29.692261386084052</v>
      </c>
      <c r="Q21" s="87">
        <f t="shared" si="1"/>
        <v>46.738902460179233</v>
      </c>
      <c r="R21" s="87">
        <f t="shared" si="1"/>
        <v>30.390265519754905</v>
      </c>
      <c r="S21" s="87">
        <f t="shared" si="1"/>
        <v>28.890634860702335</v>
      </c>
      <c r="T21" s="87">
        <f t="shared" si="1"/>
        <v>31.339804175956971</v>
      </c>
      <c r="U21" s="87">
        <f t="shared" si="1"/>
        <v>45.120309044009907</v>
      </c>
      <c r="V21" s="87">
        <f t="shared" si="1"/>
        <v>34.800809188588083</v>
      </c>
    </row>
    <row r="22" spans="1:22" x14ac:dyDescent="0.2">
      <c r="A22" s="2">
        <v>27</v>
      </c>
      <c r="B22" s="20" t="s">
        <v>38</v>
      </c>
      <c r="C22" s="4">
        <f t="shared" ref="C22:V22" si="2">C17-C14</f>
        <v>637829059.3731916</v>
      </c>
      <c r="D22" s="4">
        <f t="shared" si="2"/>
        <v>466722924.20252705</v>
      </c>
      <c r="E22" s="4"/>
      <c r="F22" s="4">
        <f t="shared" si="2"/>
        <v>10672266.142857144</v>
      </c>
      <c r="G22" s="4">
        <f t="shared" si="2"/>
        <v>1028193539.3658488</v>
      </c>
      <c r="H22" s="4">
        <f t="shared" si="2"/>
        <v>782886888.27722335</v>
      </c>
      <c r="I22" s="4">
        <f t="shared" si="2"/>
        <v>92592532</v>
      </c>
      <c r="J22" s="4">
        <f t="shared" si="2"/>
        <v>27500958</v>
      </c>
      <c r="K22" s="4">
        <f t="shared" si="2"/>
        <v>1039094711.9173639</v>
      </c>
      <c r="L22" s="4">
        <f t="shared" si="2"/>
        <v>789383228.86954582</v>
      </c>
      <c r="M22" s="4">
        <f t="shared" si="2"/>
        <v>116346059</v>
      </c>
      <c r="N22" s="4">
        <f t="shared" si="2"/>
        <v>17517239.75</v>
      </c>
      <c r="O22" s="4">
        <f t="shared" si="2"/>
        <v>954187000.86156523</v>
      </c>
      <c r="P22" s="4">
        <f t="shared" si="2"/>
        <v>728108887.58840561</v>
      </c>
      <c r="Q22" s="4">
        <f t="shared" si="2"/>
        <v>89495959</v>
      </c>
      <c r="R22" s="4">
        <f t="shared" si="2"/>
        <v>9785201.7857142873</v>
      </c>
      <c r="S22" s="4">
        <f t="shared" si="2"/>
        <v>914784078.24596524</v>
      </c>
      <c r="T22" s="4">
        <f t="shared" si="2"/>
        <v>777545034.53943586</v>
      </c>
      <c r="U22" s="4">
        <f t="shared" si="2"/>
        <v>96523384</v>
      </c>
      <c r="V22" s="4">
        <f t="shared" si="2"/>
        <v>12281813.642857144</v>
      </c>
    </row>
    <row r="23" spans="1:22" x14ac:dyDescent="0.2">
      <c r="A23" s="2">
        <v>28</v>
      </c>
      <c r="B23" s="20" t="s">
        <v>39</v>
      </c>
      <c r="C23" s="269">
        <f t="shared" ref="C23:V23" si="3">(C13/C17)*100</f>
        <v>34.236433184821358</v>
      </c>
      <c r="D23" s="269">
        <f t="shared" si="3"/>
        <v>46.848720038552983</v>
      </c>
      <c r="E23" s="269"/>
      <c r="F23" s="269">
        <f t="shared" si="3"/>
        <v>42.041078253865983</v>
      </c>
      <c r="G23" s="269">
        <f t="shared" si="3"/>
        <v>57.731817092176428</v>
      </c>
      <c r="H23" s="269">
        <f t="shared" si="3"/>
        <v>78.08731187839814</v>
      </c>
      <c r="I23" s="269">
        <f t="shared" si="3"/>
        <v>44.354793908587737</v>
      </c>
      <c r="J23" s="269">
        <f t="shared" si="3"/>
        <v>44.151189205845121</v>
      </c>
      <c r="K23" s="269">
        <f t="shared" si="3"/>
        <v>57.990776759059436</v>
      </c>
      <c r="L23" s="269">
        <f t="shared" si="3"/>
        <v>74.448610627847671</v>
      </c>
      <c r="M23" s="269">
        <f t="shared" si="3"/>
        <v>49.999077338580342</v>
      </c>
      <c r="N23" s="269">
        <f t="shared" si="3"/>
        <v>37.828035829410133</v>
      </c>
      <c r="O23" s="269">
        <f t="shared" si="3"/>
        <v>46.107976161833385</v>
      </c>
      <c r="P23" s="269">
        <f t="shared" si="3"/>
        <v>61.746106085220831</v>
      </c>
      <c r="Q23" s="269">
        <f t="shared" si="3"/>
        <v>33.397680445420228</v>
      </c>
      <c r="R23" s="269">
        <f t="shared" si="3"/>
        <v>113.82979605028716</v>
      </c>
      <c r="S23" s="269">
        <f t="shared" si="3"/>
        <v>44.232171130100255</v>
      </c>
      <c r="T23" s="269">
        <f t="shared" si="3"/>
        <v>61.340773202181829</v>
      </c>
      <c r="U23" s="269">
        <f t="shared" si="3"/>
        <v>32.026977741373862</v>
      </c>
      <c r="V23" s="269">
        <f t="shared" si="3"/>
        <v>99.728270772058238</v>
      </c>
    </row>
    <row r="24" spans="1:22" x14ac:dyDescent="0.2">
      <c r="A24" s="2">
        <v>29</v>
      </c>
      <c r="B24" s="20" t="s">
        <v>48</v>
      </c>
      <c r="C24" s="269">
        <f t="shared" ref="C24:V24" si="4">(C14/C17)*100</f>
        <v>62.980247007688362</v>
      </c>
      <c r="D24" s="269">
        <f t="shared" si="4"/>
        <v>50.652407638280863</v>
      </c>
      <c r="E24" s="269"/>
      <c r="F24" s="269">
        <f t="shared" si="4"/>
        <v>57.05651071420926</v>
      </c>
      <c r="G24" s="269">
        <f t="shared" si="4"/>
        <v>40.839059746606679</v>
      </c>
      <c r="H24" s="269">
        <f t="shared" si="4"/>
        <v>21.320839120789277</v>
      </c>
      <c r="I24" s="269">
        <f t="shared" si="4"/>
        <v>55.64520609141227</v>
      </c>
      <c r="J24" s="269">
        <f t="shared" si="4"/>
        <v>0</v>
      </c>
      <c r="K24" s="269">
        <f t="shared" si="4"/>
        <v>39.89196327450464</v>
      </c>
      <c r="L24" s="269">
        <f t="shared" si="4"/>
        <v>24.984063789058037</v>
      </c>
      <c r="M24" s="269">
        <f t="shared" si="4"/>
        <v>50.000922231675169</v>
      </c>
      <c r="N24" s="269">
        <f t="shared" si="4"/>
        <v>32.265892579437036</v>
      </c>
      <c r="O24" s="269">
        <f t="shared" si="4"/>
        <v>51.835355442405316</v>
      </c>
      <c r="P24" s="269">
        <f t="shared" si="4"/>
        <v>36.822175316249648</v>
      </c>
      <c r="Q24" s="269">
        <f t="shared" si="4"/>
        <v>66.602319927755062</v>
      </c>
      <c r="R24" s="269">
        <f t="shared" si="4"/>
        <v>59.453695767217681</v>
      </c>
      <c r="S24" s="269">
        <f t="shared" si="4"/>
        <v>53.946601313934806</v>
      </c>
      <c r="T24" s="269">
        <f t="shared" si="4"/>
        <v>37.211305309610978</v>
      </c>
      <c r="U24" s="269">
        <f t="shared" si="4"/>
        <v>67.973022258626131</v>
      </c>
      <c r="V24" s="269">
        <f t="shared" si="4"/>
        <v>57.455920925779225</v>
      </c>
    </row>
    <row r="25" spans="1:22" x14ac:dyDescent="0.2">
      <c r="A25" s="2">
        <v>30</v>
      </c>
      <c r="B25" s="20" t="s">
        <v>47</v>
      </c>
      <c r="C25" s="269">
        <f t="shared" ref="C25:V25" si="5">(C22/C17)*100</f>
        <v>37.019752992311631</v>
      </c>
      <c r="D25" s="269">
        <f t="shared" si="5"/>
        <v>49.347592361719137</v>
      </c>
      <c r="E25" s="269"/>
      <c r="F25" s="269">
        <f t="shared" si="5"/>
        <v>42.94348928579074</v>
      </c>
      <c r="G25" s="269">
        <f t="shared" si="5"/>
        <v>59.160940253393321</v>
      </c>
      <c r="H25" s="269">
        <f t="shared" si="5"/>
        <v>78.679160879210727</v>
      </c>
      <c r="I25" s="269">
        <f t="shared" si="5"/>
        <v>44.354793908587737</v>
      </c>
      <c r="J25" s="269">
        <f t="shared" si="5"/>
        <v>100</v>
      </c>
      <c r="K25" s="269">
        <f t="shared" si="5"/>
        <v>60.10803672549536</v>
      </c>
      <c r="L25" s="269">
        <f t="shared" si="5"/>
        <v>75.015936210941959</v>
      </c>
      <c r="M25" s="269">
        <f t="shared" si="5"/>
        <v>49.999077768324831</v>
      </c>
      <c r="N25" s="269">
        <f t="shared" si="5"/>
        <v>67.734107420562964</v>
      </c>
      <c r="O25" s="269">
        <f t="shared" si="5"/>
        <v>48.164644557594684</v>
      </c>
      <c r="P25" s="269">
        <f t="shared" si="5"/>
        <v>63.177824683750352</v>
      </c>
      <c r="Q25" s="269">
        <f t="shared" si="5"/>
        <v>33.397680072244945</v>
      </c>
      <c r="R25" s="269">
        <f t="shared" si="5"/>
        <v>40.546304232782319</v>
      </c>
      <c r="S25" s="269">
        <f t="shared" si="5"/>
        <v>46.053398686065194</v>
      </c>
      <c r="T25" s="269">
        <f t="shared" si="5"/>
        <v>62.788694690389036</v>
      </c>
      <c r="U25" s="269">
        <f t="shared" si="5"/>
        <v>32.026977741373862</v>
      </c>
      <c r="V25" s="269">
        <f t="shared" si="5"/>
        <v>42.544079074220775</v>
      </c>
    </row>
    <row r="26" spans="1:22" x14ac:dyDescent="0.2">
      <c r="A26" s="2">
        <v>31</v>
      </c>
      <c r="B26" s="20" t="s">
        <v>40</v>
      </c>
      <c r="C26" s="269"/>
      <c r="D26" s="269"/>
      <c r="E26" s="269"/>
      <c r="F26" s="269"/>
      <c r="G26" s="269"/>
      <c r="H26" s="269"/>
      <c r="I26" s="269"/>
      <c r="J26" s="269"/>
      <c r="K26" s="269"/>
      <c r="L26" s="269"/>
      <c r="M26" s="269"/>
      <c r="N26" s="269"/>
      <c r="O26" s="269"/>
      <c r="P26" s="269"/>
      <c r="Q26" s="269"/>
      <c r="R26" s="269"/>
      <c r="S26" s="269"/>
      <c r="T26" s="269"/>
      <c r="U26" s="269"/>
      <c r="V26" s="269"/>
    </row>
    <row r="27" spans="1:22" x14ac:dyDescent="0.2">
      <c r="A27" s="2">
        <v>32</v>
      </c>
      <c r="B27" s="20" t="s">
        <v>41</v>
      </c>
      <c r="C27" s="269">
        <f>C15/C5</f>
        <v>0.83516359889525837</v>
      </c>
      <c r="D27" s="269">
        <f t="shared" ref="D27:V27" si="6">D15/D5</f>
        <v>2.8747313576381415</v>
      </c>
      <c r="E27" s="269"/>
      <c r="F27" s="269">
        <f t="shared" si="6"/>
        <v>1.341522928010896</v>
      </c>
      <c r="G27" s="269">
        <f t="shared" si="6"/>
        <v>0.82802207472914569</v>
      </c>
      <c r="H27" s="269">
        <f t="shared" si="6"/>
        <v>3.0936010572561101</v>
      </c>
      <c r="I27" s="269">
        <f t="shared" si="6"/>
        <v>1.0244193146115363</v>
      </c>
      <c r="J27" s="269">
        <f t="shared" si="6"/>
        <v>1.4965213534791311</v>
      </c>
      <c r="K27" s="269">
        <f t="shared" si="6"/>
        <v>0.82261390330344897</v>
      </c>
      <c r="L27" s="269">
        <f t="shared" si="6"/>
        <v>3.1384546792856134</v>
      </c>
      <c r="M27" s="269">
        <f t="shared" si="6"/>
        <v>1.2114060927274088</v>
      </c>
      <c r="N27" s="269">
        <f t="shared" si="6"/>
        <v>1.4073235006068856</v>
      </c>
      <c r="O27" s="269">
        <f t="shared" si="6"/>
        <v>0.94226801678209549</v>
      </c>
      <c r="P27" s="269">
        <f t="shared" si="6"/>
        <v>3.4219600810925663</v>
      </c>
      <c r="Q27" s="269">
        <f t="shared" si="6"/>
        <v>1.2339345089759064</v>
      </c>
      <c r="R27" s="269">
        <f t="shared" si="6"/>
        <v>1.3381436595562515</v>
      </c>
      <c r="S27" s="269">
        <f t="shared" si="6"/>
        <v>0.97264785083236616</v>
      </c>
      <c r="T27" s="269">
        <f t="shared" si="6"/>
        <v>3.8604735726265758</v>
      </c>
      <c r="U27" s="269">
        <f t="shared" si="6"/>
        <v>1.0275850599365217</v>
      </c>
      <c r="V27" s="269">
        <f t="shared" si="6"/>
        <v>1.53268154719415</v>
      </c>
    </row>
    <row r="28" spans="1:22" x14ac:dyDescent="0.2">
      <c r="A28" s="2">
        <v>33</v>
      </c>
      <c r="B28" s="20" t="s">
        <v>49</v>
      </c>
      <c r="C28" s="269">
        <f>C14/C5</f>
        <v>0.5259880975025335</v>
      </c>
      <c r="D28" s="269">
        <f t="shared" ref="D28:V28" si="7">D14/D5</f>
        <v>1.4561206457763569</v>
      </c>
      <c r="E28" s="269"/>
      <c r="F28" s="269">
        <f t="shared" si="7"/>
        <v>0.78575627301902362</v>
      </c>
      <c r="G28" s="269">
        <f t="shared" si="7"/>
        <v>0.33815642981372801</v>
      </c>
      <c r="H28" s="269">
        <f t="shared" si="7"/>
        <v>0.65958170445661135</v>
      </c>
      <c r="I28" s="269">
        <f t="shared" si="7"/>
        <v>0.57004023885582245</v>
      </c>
      <c r="J28" s="269">
        <f t="shared" si="7"/>
        <v>0</v>
      </c>
      <c r="K28" s="269">
        <f t="shared" si="7"/>
        <v>0.32815683619678099</v>
      </c>
      <c r="L28" s="269">
        <f t="shared" si="7"/>
        <v>0.78411351906339444</v>
      </c>
      <c r="M28" s="270">
        <f>M14/M5</f>
        <v>0.60571421833440653</v>
      </c>
      <c r="N28" s="269">
        <f t="shared" si="7"/>
        <v>0.47200815994944445</v>
      </c>
      <c r="O28" s="269">
        <f t="shared" si="7"/>
        <v>0.48842797571910262</v>
      </c>
      <c r="P28" s="269">
        <f t="shared" si="7"/>
        <v>1.2600401403119834</v>
      </c>
      <c r="Q28" s="269">
        <f t="shared" si="7"/>
        <v>0.82182900936710668</v>
      </c>
      <c r="R28" s="269">
        <f t="shared" si="7"/>
        <v>0.80650373288287003</v>
      </c>
      <c r="S28" s="269">
        <f t="shared" si="7"/>
        <v>0.52471045827709184</v>
      </c>
      <c r="T28" s="269">
        <f t="shared" si="7"/>
        <v>1.4365326075069216</v>
      </c>
      <c r="U28" s="269">
        <f t="shared" si="7"/>
        <v>0.69848062151696877</v>
      </c>
      <c r="V28" s="269">
        <f t="shared" si="7"/>
        <v>0.93413711772039765</v>
      </c>
    </row>
    <row r="29" spans="1:22" x14ac:dyDescent="0.2">
      <c r="A29" s="2">
        <v>34</v>
      </c>
      <c r="B29" s="20" t="s">
        <v>42</v>
      </c>
      <c r="C29" s="269">
        <f>C17/C6</f>
        <v>14.426106263240996</v>
      </c>
      <c r="D29" s="269">
        <f t="shared" ref="D29:V29" si="8">D17/D6</f>
        <v>17.937148068188339</v>
      </c>
      <c r="E29" s="269"/>
      <c r="F29" s="269">
        <f t="shared" si="8"/>
        <v>22.583342117602584</v>
      </c>
      <c r="G29" s="269">
        <f t="shared" si="8"/>
        <v>23.375804272268773</v>
      </c>
      <c r="H29" s="269">
        <f t="shared" si="8"/>
        <v>44.775248379850254</v>
      </c>
      <c r="I29" s="269">
        <f t="shared" si="8"/>
        <v>16.801149537223338</v>
      </c>
      <c r="J29" s="269">
        <f t="shared" si="8"/>
        <v>34.557668456482105</v>
      </c>
      <c r="K29" s="269">
        <f t="shared" si="8"/>
        <v>23.81720558546537</v>
      </c>
      <c r="L29" s="269">
        <f t="shared" si="8"/>
        <v>38.028845048531359</v>
      </c>
      <c r="M29" s="270">
        <f t="shared" si="8"/>
        <v>16.73954463707647</v>
      </c>
      <c r="N29" s="269">
        <f t="shared" si="8"/>
        <v>32.662618008676596</v>
      </c>
      <c r="O29" s="269">
        <f t="shared" si="8"/>
        <v>19.706080941001613</v>
      </c>
      <c r="P29" s="269">
        <f t="shared" si="8"/>
        <v>27.740667170818988</v>
      </c>
      <c r="Q29" s="269">
        <f t="shared" si="8"/>
        <v>14.013732140989436</v>
      </c>
      <c r="R29" s="269">
        <f t="shared" si="8"/>
        <v>21.782757310366428</v>
      </c>
      <c r="S29" s="269">
        <f t="shared" si="8"/>
        <v>17.843268707201474</v>
      </c>
      <c r="T29" s="269">
        <f t="shared" si="8"/>
        <v>25.868044538501842</v>
      </c>
      <c r="U29" s="269">
        <f t="shared" si="8"/>
        <v>12.408658349802371</v>
      </c>
      <c r="V29" s="269">
        <f t="shared" si="8"/>
        <v>22.798502341177798</v>
      </c>
    </row>
    <row r="30" spans="1:22" x14ac:dyDescent="0.2">
      <c r="A30" s="2">
        <v>35</v>
      </c>
      <c r="B30" s="20" t="s">
        <v>43</v>
      </c>
      <c r="C30" s="269">
        <f>C14/C6</f>
        <v>9.0855973581807827</v>
      </c>
      <c r="D30" s="269">
        <f t="shared" ref="D30:V30" si="9">D14/D6</f>
        <v>9.0855973581807792</v>
      </c>
      <c r="E30" s="269"/>
      <c r="F30" s="269">
        <f t="shared" si="9"/>
        <v>12.885267014956451</v>
      </c>
      <c r="G30" s="269">
        <f t="shared" si="9"/>
        <v>9.5464586730016805</v>
      </c>
      <c r="H30" s="269">
        <f t="shared" si="9"/>
        <v>9.5464586730016787</v>
      </c>
      <c r="I30" s="269">
        <f t="shared" si="9"/>
        <v>9.3490342857142856</v>
      </c>
      <c r="J30" s="269">
        <f t="shared" si="9"/>
        <v>0</v>
      </c>
      <c r="K30" s="269">
        <f t="shared" si="9"/>
        <v>9.5011509051671137</v>
      </c>
      <c r="L30" s="269">
        <f t="shared" si="9"/>
        <v>9.5011509051671137</v>
      </c>
      <c r="M30" s="270">
        <f t="shared" si="9"/>
        <v>8.3699266959211567</v>
      </c>
      <c r="N30" s="269">
        <f t="shared" si="9"/>
        <v>10.538885240311448</v>
      </c>
      <c r="O30" s="269">
        <f t="shared" si="9"/>
        <v>10.214717099536276</v>
      </c>
      <c r="P30" s="269">
        <f t="shared" si="9"/>
        <v>10.214717099536278</v>
      </c>
      <c r="Q30" s="269">
        <f t="shared" si="9"/>
        <v>9.3334707143604234</v>
      </c>
      <c r="R30" s="269">
        <f t="shared" si="9"/>
        <v>12.950654261016625</v>
      </c>
      <c r="S30" s="269">
        <f t="shared" si="9"/>
        <v>9.6258370308480696</v>
      </c>
      <c r="T30" s="269">
        <f t="shared" si="9"/>
        <v>9.6258370308480679</v>
      </c>
      <c r="U30" s="269">
        <f t="shared" si="9"/>
        <v>8.4345401021080377</v>
      </c>
      <c r="V30" s="269">
        <f t="shared" si="9"/>
        <v>13.099089477409041</v>
      </c>
    </row>
    <row r="31" spans="1:22" x14ac:dyDescent="0.2">
      <c r="A31" s="2">
        <v>36</v>
      </c>
      <c r="B31" s="20" t="s">
        <v>44</v>
      </c>
      <c r="C31" s="269">
        <f>C13/C6</f>
        <v>4.9389842319858328</v>
      </c>
      <c r="D31" s="269">
        <f t="shared" ref="D31:V31" si="10">D13/D6</f>
        <v>8.4033242813662703</v>
      </c>
      <c r="E31" s="269"/>
      <c r="F31" s="269">
        <f t="shared" si="10"/>
        <v>9.4942805319995784</v>
      </c>
      <c r="G31" s="269">
        <f t="shared" si="10"/>
        <v>13.49527656629137</v>
      </c>
      <c r="H31" s="269">
        <f t="shared" si="10"/>
        <v>34.963787846701081</v>
      </c>
      <c r="I31" s="269">
        <f t="shared" si="10"/>
        <v>7.4521152515090545</v>
      </c>
      <c r="J31" s="269">
        <f t="shared" si="10"/>
        <v>15.257621585350069</v>
      </c>
      <c r="K31" s="269">
        <f t="shared" si="10"/>
        <v>13.811782521313457</v>
      </c>
      <c r="L31" s="269">
        <f t="shared" si="10"/>
        <v>28.311946776448639</v>
      </c>
      <c r="M31" s="270">
        <f t="shared" si="10"/>
        <v>8.3696178692180414</v>
      </c>
      <c r="N31" s="269">
        <f t="shared" si="10"/>
        <v>12.355626843145551</v>
      </c>
      <c r="O31" s="269">
        <f t="shared" si="10"/>
        <v>9.086075102708616</v>
      </c>
      <c r="P31" s="269">
        <f t="shared" si="10"/>
        <v>17.128781780041919</v>
      </c>
      <c r="Q31" s="269">
        <f t="shared" si="10"/>
        <v>4.6802614789247983</v>
      </c>
      <c r="R31" s="269">
        <f t="shared" si="10"/>
        <v>24.795268220519119</v>
      </c>
      <c r="S31" s="269">
        <f t="shared" si="10"/>
        <v>7.8924651497729847</v>
      </c>
      <c r="T31" s="269">
        <f t="shared" si="10"/>
        <v>15.8676585322018</v>
      </c>
      <c r="U31" s="269">
        <f t="shared" si="10"/>
        <v>3.9741182476943346</v>
      </c>
      <c r="V31" s="269">
        <f t="shared" si="10"/>
        <v>22.736552146783833</v>
      </c>
    </row>
    <row r="32" spans="1:22" x14ac:dyDescent="0.2">
      <c r="B32" s="20"/>
    </row>
    <row r="33" spans="2:12" x14ac:dyDescent="0.2">
      <c r="B33" s="20"/>
    </row>
    <row r="34" spans="2:12" x14ac:dyDescent="0.2">
      <c r="B34" s="20"/>
    </row>
    <row r="36" spans="2:12" x14ac:dyDescent="0.2">
      <c r="G36" s="4"/>
      <c r="H36" s="4"/>
      <c r="I36" s="4"/>
      <c r="J36" s="4"/>
      <c r="K36" s="4"/>
      <c r="L36" s="4"/>
    </row>
    <row r="37" spans="2:12" x14ac:dyDescent="0.2">
      <c r="G37" s="4"/>
      <c r="H37" s="4"/>
      <c r="I37" s="4"/>
      <c r="J37" s="4"/>
      <c r="K37" s="4"/>
      <c r="L37" s="4"/>
    </row>
    <row r="38" spans="2:12" x14ac:dyDescent="0.2">
      <c r="G38" s="4"/>
      <c r="H38" s="4"/>
      <c r="I38" s="4"/>
      <c r="J38" s="4"/>
      <c r="K38" s="4"/>
      <c r="L38" s="4"/>
    </row>
    <row r="39" spans="2:12" x14ac:dyDescent="0.2">
      <c r="G39" s="4"/>
      <c r="H39" s="4"/>
      <c r="I39" s="4"/>
      <c r="J39" s="4"/>
      <c r="K39" s="4"/>
      <c r="L39" s="4"/>
    </row>
    <row r="40" spans="2:12" x14ac:dyDescent="0.2">
      <c r="G40" s="4"/>
      <c r="H40" s="4"/>
      <c r="I40" s="4"/>
      <c r="J40" s="4"/>
      <c r="K40" s="4"/>
      <c r="L40" s="4"/>
    </row>
  </sheetData>
  <mergeCells count="7">
    <mergeCell ref="O2:R2"/>
    <mergeCell ref="S2:V2"/>
    <mergeCell ref="A2:A3"/>
    <mergeCell ref="B2:B3"/>
    <mergeCell ref="C2:F2"/>
    <mergeCell ref="G2:J2"/>
    <mergeCell ref="K2:N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73065-19AF-488D-96A4-89975103EC45}">
  <sheetPr>
    <tabColor theme="3" tint="0.39997558519241921"/>
  </sheetPr>
  <dimension ref="A2:BC35"/>
  <sheetViews>
    <sheetView workbookViewId="0">
      <pane xSplit="2" ySplit="3" topLeftCell="C4" activePane="bottomRight" state="frozen"/>
      <selection activeCell="C45" sqref="C45"/>
      <selection pane="topRight" activeCell="C45" sqref="C45"/>
      <selection pane="bottomLeft" activeCell="C45" sqref="C45"/>
      <selection pane="bottomRight" activeCell="AY13" sqref="AY13"/>
    </sheetView>
  </sheetViews>
  <sheetFormatPr baseColWidth="10" defaultColWidth="10.85546875" defaultRowHeight="12" x14ac:dyDescent="0.2"/>
  <cols>
    <col min="1" max="1" width="2.28515625" style="2" customWidth="1"/>
    <col min="2" max="2" width="31" style="2" bestFit="1" customWidth="1"/>
    <col min="3" max="3" width="10" style="2" customWidth="1"/>
    <col min="4" max="7" width="10" style="2" bestFit="1" customWidth="1"/>
    <col min="8" max="8" width="9.140625" style="2" bestFit="1" customWidth="1"/>
    <col min="9" max="16" width="10" style="2" bestFit="1" customWidth="1"/>
    <col min="17" max="21" width="7" style="2" bestFit="1" customWidth="1"/>
    <col min="22" max="25" width="10.5703125" style="2" bestFit="1" customWidth="1"/>
    <col min="26" max="30" width="10" style="265" bestFit="1" customWidth="1"/>
    <col min="31" max="34" width="8.140625" style="2" bestFit="1" customWidth="1"/>
    <col min="35" max="35" width="9.140625" style="2" bestFit="1" customWidth="1"/>
    <col min="36" max="36" width="10" style="2" bestFit="1" customWidth="1"/>
    <col min="37" max="40" width="9.140625" style="2" bestFit="1" customWidth="1"/>
    <col min="41" max="50" width="10" style="2" bestFit="1" customWidth="1"/>
    <col min="51" max="51" width="36.5703125" style="2" bestFit="1" customWidth="1"/>
    <col min="52" max="55" width="10" style="2" bestFit="1" customWidth="1"/>
    <col min="56" max="16384" width="10.85546875" style="2"/>
  </cols>
  <sheetData>
    <row r="2" spans="1:55" s="109" customFormat="1" x14ac:dyDescent="0.2">
      <c r="B2" s="374" t="s">
        <v>77</v>
      </c>
      <c r="C2" s="367" t="s">
        <v>2</v>
      </c>
      <c r="D2" s="367"/>
      <c r="E2" s="367"/>
      <c r="F2" s="367"/>
      <c r="G2" s="378"/>
      <c r="H2" s="379" t="s">
        <v>3</v>
      </c>
      <c r="I2" s="367"/>
      <c r="J2" s="367"/>
      <c r="K2" s="367"/>
      <c r="L2" s="378"/>
      <c r="M2" s="379" t="s">
        <v>5</v>
      </c>
      <c r="N2" s="367"/>
      <c r="O2" s="367"/>
      <c r="P2" s="378"/>
      <c r="Q2" s="379" t="s">
        <v>6</v>
      </c>
      <c r="R2" s="367"/>
      <c r="S2" s="367"/>
      <c r="T2" s="367"/>
      <c r="U2" s="378"/>
      <c r="V2" s="372" t="s">
        <v>85</v>
      </c>
      <c r="W2" s="366"/>
      <c r="X2" s="366"/>
      <c r="Y2" s="371"/>
      <c r="Z2" s="380" t="s">
        <v>7</v>
      </c>
      <c r="AA2" s="380"/>
      <c r="AB2" s="380"/>
      <c r="AC2" s="380"/>
      <c r="AD2" s="380"/>
      <c r="AE2" s="372" t="s">
        <v>74</v>
      </c>
      <c r="AF2" s="366"/>
      <c r="AG2" s="366"/>
      <c r="AH2" s="366"/>
      <c r="AI2" s="371"/>
      <c r="AJ2" s="372" t="s">
        <v>100</v>
      </c>
      <c r="AK2" s="366"/>
      <c r="AL2" s="366"/>
      <c r="AM2" s="366"/>
      <c r="AN2" s="371"/>
      <c r="AO2" s="372" t="s">
        <v>75</v>
      </c>
      <c r="AP2" s="366"/>
      <c r="AQ2" s="366"/>
      <c r="AR2" s="366"/>
      <c r="AS2" s="371"/>
      <c r="AT2" s="372" t="s">
        <v>98</v>
      </c>
      <c r="AU2" s="366"/>
      <c r="AV2" s="366"/>
      <c r="AW2" s="366"/>
      <c r="AX2" s="371"/>
      <c r="AY2" s="372" t="s">
        <v>9</v>
      </c>
      <c r="AZ2" s="366"/>
      <c r="BA2" s="366"/>
      <c r="BB2" s="366"/>
      <c r="BC2" s="371"/>
    </row>
    <row r="3" spans="1:55" s="219" customFormat="1" ht="12.75" thickBot="1" x14ac:dyDescent="0.25">
      <c r="B3" s="375"/>
      <c r="C3" s="48">
        <v>2019</v>
      </c>
      <c r="D3" s="48">
        <v>2020</v>
      </c>
      <c r="E3" s="48">
        <v>2021</v>
      </c>
      <c r="F3" s="48">
        <v>2022</v>
      </c>
      <c r="G3" s="49">
        <v>2023</v>
      </c>
      <c r="H3" s="50">
        <v>2019</v>
      </c>
      <c r="I3" s="48">
        <v>2020</v>
      </c>
      <c r="J3" s="48">
        <v>2021</v>
      </c>
      <c r="K3" s="48">
        <v>2022</v>
      </c>
      <c r="L3" s="49">
        <v>2023</v>
      </c>
      <c r="M3" s="50">
        <v>2020</v>
      </c>
      <c r="N3" s="48">
        <v>2021</v>
      </c>
      <c r="O3" s="48">
        <v>2022</v>
      </c>
      <c r="P3" s="49">
        <v>2023</v>
      </c>
      <c r="Q3" s="50">
        <v>2019</v>
      </c>
      <c r="R3" s="48">
        <v>2020</v>
      </c>
      <c r="S3" s="48">
        <v>2021</v>
      </c>
      <c r="T3" s="48">
        <v>2022</v>
      </c>
      <c r="U3" s="49">
        <v>2023</v>
      </c>
      <c r="V3" s="51">
        <v>2020</v>
      </c>
      <c r="W3" s="45">
        <v>2021</v>
      </c>
      <c r="X3" s="45">
        <v>2122</v>
      </c>
      <c r="Y3" s="52">
        <v>2023</v>
      </c>
      <c r="Z3" s="89">
        <v>2019</v>
      </c>
      <c r="AA3" s="90">
        <v>2020</v>
      </c>
      <c r="AB3" s="90">
        <v>2021</v>
      </c>
      <c r="AC3" s="90">
        <v>2122</v>
      </c>
      <c r="AD3" s="91">
        <v>2023</v>
      </c>
      <c r="AE3" s="51">
        <v>2019</v>
      </c>
      <c r="AF3" s="45">
        <v>2020</v>
      </c>
      <c r="AG3" s="45">
        <v>2021</v>
      </c>
      <c r="AH3" s="45">
        <v>2022</v>
      </c>
      <c r="AI3" s="52">
        <v>2023</v>
      </c>
      <c r="AJ3" s="51">
        <v>2019</v>
      </c>
      <c r="AK3" s="45">
        <v>2020</v>
      </c>
      <c r="AL3" s="45">
        <v>2021</v>
      </c>
      <c r="AM3" s="45">
        <v>2022</v>
      </c>
      <c r="AN3" s="52">
        <v>2023</v>
      </c>
      <c r="AO3" s="53">
        <v>2019</v>
      </c>
      <c r="AP3" s="46">
        <v>2020</v>
      </c>
      <c r="AQ3" s="46">
        <v>2021</v>
      </c>
      <c r="AR3" s="46">
        <v>2022</v>
      </c>
      <c r="AS3" s="47">
        <v>2023</v>
      </c>
      <c r="AT3" s="53">
        <v>2019</v>
      </c>
      <c r="AU3" s="46">
        <v>2020</v>
      </c>
      <c r="AV3" s="46">
        <v>2021</v>
      </c>
      <c r="AW3" s="46">
        <v>2022</v>
      </c>
      <c r="AX3" s="47">
        <v>2023</v>
      </c>
      <c r="AY3" s="51">
        <v>2019</v>
      </c>
      <c r="AZ3" s="45">
        <v>2020</v>
      </c>
      <c r="BA3" s="45">
        <v>2021</v>
      </c>
      <c r="BB3" s="45">
        <v>2022</v>
      </c>
      <c r="BC3" s="52">
        <v>2023</v>
      </c>
    </row>
    <row r="4" spans="1:55" s="4" customFormat="1" x14ac:dyDescent="0.2">
      <c r="A4" s="4">
        <v>1</v>
      </c>
      <c r="B4" s="54" t="s">
        <v>10</v>
      </c>
      <c r="C4" s="4">
        <v>378200</v>
      </c>
      <c r="D4" s="4">
        <v>349404.65310549637</v>
      </c>
      <c r="E4" s="4">
        <v>360599.40704362903</v>
      </c>
      <c r="F4" s="4">
        <v>360000</v>
      </c>
      <c r="G4" s="30">
        <v>361650.10472026851</v>
      </c>
      <c r="H4" s="18">
        <v>370351</v>
      </c>
      <c r="I4" s="4">
        <v>372144</v>
      </c>
      <c r="J4" s="4">
        <v>356644</v>
      </c>
      <c r="K4" s="4">
        <v>353267</v>
      </c>
      <c r="L4" s="30">
        <v>407606</v>
      </c>
      <c r="M4" s="18">
        <v>137163</v>
      </c>
      <c r="N4" s="4">
        <v>181944</v>
      </c>
      <c r="O4" s="4">
        <v>191143</v>
      </c>
      <c r="P4" s="30">
        <v>191143</v>
      </c>
      <c r="Q4" s="18"/>
      <c r="U4" s="30"/>
      <c r="V4" s="33">
        <v>1842758</v>
      </c>
      <c r="W4" s="11">
        <v>1850000</v>
      </c>
      <c r="X4" s="11">
        <v>1850000</v>
      </c>
      <c r="Y4" s="55">
        <v>1942237</v>
      </c>
      <c r="Z4" s="92">
        <v>1130785.861</v>
      </c>
      <c r="AA4" s="34">
        <v>1004997.1610000001</v>
      </c>
      <c r="AB4" s="34">
        <v>1040157.203</v>
      </c>
      <c r="AC4" s="34">
        <v>1014144.7330000001</v>
      </c>
      <c r="AD4" s="40">
        <v>982643.37</v>
      </c>
      <c r="AE4" s="18">
        <v>41556</v>
      </c>
      <c r="AF4" s="4">
        <v>33700</v>
      </c>
      <c r="AG4" s="4">
        <v>33700</v>
      </c>
      <c r="AH4" s="4">
        <v>33700</v>
      </c>
      <c r="AI4" s="104">
        <v>33700</v>
      </c>
      <c r="AJ4" s="4">
        <v>946923</v>
      </c>
      <c r="AK4" s="4">
        <v>898242</v>
      </c>
      <c r="AL4" s="4">
        <v>892322</v>
      </c>
      <c r="AM4" s="4">
        <v>911206</v>
      </c>
      <c r="AN4" s="4">
        <v>905328</v>
      </c>
      <c r="AO4" s="78">
        <v>416031</v>
      </c>
      <c r="AP4" s="79">
        <v>416031</v>
      </c>
      <c r="AQ4" s="79">
        <v>344437</v>
      </c>
      <c r="AR4" s="79">
        <v>331379</v>
      </c>
      <c r="AS4" s="80">
        <v>326502</v>
      </c>
      <c r="AT4" s="79">
        <v>1403657</v>
      </c>
      <c r="AU4" s="79">
        <v>1312609</v>
      </c>
      <c r="AV4" s="79">
        <v>1241143</v>
      </c>
      <c r="AW4" s="79">
        <v>1159100</v>
      </c>
      <c r="AX4" s="81">
        <v>1211386</v>
      </c>
      <c r="AY4" s="4">
        <v>561583</v>
      </c>
      <c r="AZ4" s="4">
        <v>563986</v>
      </c>
      <c r="BA4" s="4">
        <v>563986</v>
      </c>
      <c r="BB4" s="4">
        <v>555950</v>
      </c>
      <c r="BC4" s="30">
        <v>551805</v>
      </c>
    </row>
    <row r="5" spans="1:55" s="4" customFormat="1" x14ac:dyDescent="0.2">
      <c r="A5" s="4">
        <v>2</v>
      </c>
      <c r="B5" s="54" t="s">
        <v>11</v>
      </c>
      <c r="C5" s="4">
        <v>104000000</v>
      </c>
      <c r="D5" s="4">
        <v>94741976.905028135</v>
      </c>
      <c r="E5" s="4">
        <v>95882576.299500942</v>
      </c>
      <c r="F5" s="4">
        <v>117563953.75251041</v>
      </c>
      <c r="G5" s="30">
        <v>123978076.85516992</v>
      </c>
      <c r="H5" s="18">
        <v>32626771</v>
      </c>
      <c r="I5" s="4">
        <v>32550248</v>
      </c>
      <c r="J5" s="4">
        <v>31821546</v>
      </c>
      <c r="K5" s="4">
        <v>32120697</v>
      </c>
      <c r="L5" s="30">
        <v>29444484</v>
      </c>
      <c r="M5" s="18">
        <v>13884397</v>
      </c>
      <c r="N5" s="4">
        <v>19213336</v>
      </c>
      <c r="O5" s="4">
        <v>20308017</v>
      </c>
      <c r="P5" s="30">
        <v>20308017</v>
      </c>
      <c r="Q5" s="18"/>
      <c r="U5" s="30"/>
      <c r="V5" s="33">
        <v>247890837</v>
      </c>
      <c r="W5" s="11">
        <v>245000000</v>
      </c>
      <c r="X5" s="11">
        <v>245000000</v>
      </c>
      <c r="Y5" s="55">
        <v>419523192</v>
      </c>
      <c r="Z5" s="92">
        <v>177965655.75799999</v>
      </c>
      <c r="AA5" s="34">
        <v>165383958.85799998</v>
      </c>
      <c r="AB5" s="34">
        <v>176429102.99700001</v>
      </c>
      <c r="AC5" s="34">
        <v>174220060.03099999</v>
      </c>
      <c r="AD5" s="40">
        <v>171591533.14999998</v>
      </c>
      <c r="AE5" s="18">
        <v>1104240</v>
      </c>
      <c r="AF5" s="4">
        <v>775100</v>
      </c>
      <c r="AG5" s="4">
        <v>775100</v>
      </c>
      <c r="AH5" s="4">
        <v>775100</v>
      </c>
      <c r="AI5" s="30">
        <v>775100</v>
      </c>
      <c r="AJ5" s="4">
        <v>105189717</v>
      </c>
      <c r="AK5" s="4">
        <v>99704643</v>
      </c>
      <c r="AL5" s="4">
        <v>95612640</v>
      </c>
      <c r="AM5" s="4">
        <v>97542876</v>
      </c>
      <c r="AN5" s="30">
        <v>96912303</v>
      </c>
      <c r="AO5" s="79">
        <v>81061691.719999999</v>
      </c>
      <c r="AP5" s="79">
        <v>81061691.719999999</v>
      </c>
      <c r="AQ5" s="79">
        <v>70537373.719999999</v>
      </c>
      <c r="AR5" s="79">
        <v>68617847.719999999</v>
      </c>
      <c r="AS5" s="80">
        <v>64778795.719999999</v>
      </c>
      <c r="AT5" s="79">
        <v>168438878</v>
      </c>
      <c r="AU5" s="79">
        <v>484830045</v>
      </c>
      <c r="AV5" s="79">
        <v>148937160</v>
      </c>
      <c r="AW5" s="79">
        <v>139092000</v>
      </c>
      <c r="AX5" s="80">
        <v>145366270</v>
      </c>
      <c r="AY5" s="4">
        <v>106102796</v>
      </c>
      <c r="AZ5" s="4">
        <v>118717152</v>
      </c>
      <c r="BA5" s="4">
        <v>118717152</v>
      </c>
      <c r="BB5" s="4">
        <v>116700000</v>
      </c>
      <c r="BC5" s="30">
        <v>117135059</v>
      </c>
    </row>
    <row r="6" spans="1:55" s="4" customFormat="1" x14ac:dyDescent="0.2">
      <c r="A6" s="4">
        <v>3</v>
      </c>
      <c r="B6" s="54" t="s">
        <v>71</v>
      </c>
      <c r="C6" s="4">
        <v>4352563.3798450492</v>
      </c>
      <c r="D6" s="4">
        <v>2624989.3299335083</v>
      </c>
      <c r="E6" s="4">
        <v>2597503.6218678132</v>
      </c>
      <c r="F6" s="4">
        <v>3555264.2084590951</v>
      </c>
      <c r="G6" s="30">
        <v>4005131.6804418154</v>
      </c>
      <c r="H6" s="4">
        <v>80197</v>
      </c>
      <c r="I6" s="4">
        <v>58430</v>
      </c>
      <c r="J6" s="4">
        <v>62942</v>
      </c>
      <c r="K6" s="4">
        <v>76021</v>
      </c>
      <c r="L6" s="30">
        <v>71232</v>
      </c>
      <c r="M6" s="4">
        <v>341897</v>
      </c>
      <c r="N6" s="4">
        <v>363329</v>
      </c>
      <c r="O6" s="4">
        <v>381858</v>
      </c>
      <c r="P6" s="30">
        <v>459796</v>
      </c>
      <c r="Q6" s="18"/>
      <c r="U6" s="30"/>
      <c r="V6" s="33">
        <v>1167000</v>
      </c>
      <c r="W6" s="11">
        <v>1199000</v>
      </c>
      <c r="X6" s="11">
        <v>1596000</v>
      </c>
      <c r="Y6" s="55">
        <v>1762000</v>
      </c>
      <c r="Z6" s="92">
        <v>673978</v>
      </c>
      <c r="AA6" s="34">
        <v>454230</v>
      </c>
      <c r="AB6" s="34">
        <v>450688.50999999995</v>
      </c>
      <c r="AC6" s="34">
        <v>565020</v>
      </c>
      <c r="AD6" s="40">
        <v>537879</v>
      </c>
      <c r="AE6" s="18">
        <v>57390</v>
      </c>
      <c r="AF6" s="4">
        <v>38276</v>
      </c>
      <c r="AG6" s="4">
        <v>50937</v>
      </c>
      <c r="AH6" s="4">
        <v>37429</v>
      </c>
      <c r="AI6" s="30">
        <v>37277.5</v>
      </c>
      <c r="AJ6" s="4">
        <v>793800</v>
      </c>
      <c r="AK6" s="4">
        <v>481787</v>
      </c>
      <c r="AL6" s="4">
        <v>488932</v>
      </c>
      <c r="AM6" s="4">
        <v>535148</v>
      </c>
      <c r="AN6" s="30">
        <v>545861</v>
      </c>
      <c r="AO6" s="79">
        <v>470112</v>
      </c>
      <c r="AP6" s="79">
        <v>323424</v>
      </c>
      <c r="AQ6" s="79">
        <v>288095</v>
      </c>
      <c r="AR6" s="79">
        <v>370066</v>
      </c>
      <c r="AS6" s="80">
        <v>440194</v>
      </c>
      <c r="AT6" s="79">
        <v>501051</v>
      </c>
      <c r="AU6" s="79">
        <v>463641</v>
      </c>
      <c r="AV6" s="79">
        <v>429568</v>
      </c>
      <c r="AW6" s="79">
        <v>392478</v>
      </c>
      <c r="AX6" s="80">
        <v>436287</v>
      </c>
      <c r="AY6" s="4">
        <v>272360</v>
      </c>
      <c r="AZ6" s="4">
        <v>192641</v>
      </c>
      <c r="BA6" s="4">
        <v>204480</v>
      </c>
      <c r="BB6" s="4">
        <v>260615</v>
      </c>
      <c r="BC6" s="30">
        <v>277423</v>
      </c>
    </row>
    <row r="7" spans="1:55" s="4" customFormat="1" x14ac:dyDescent="0.2">
      <c r="A7" s="4">
        <v>4</v>
      </c>
      <c r="B7" s="82" t="s">
        <v>13</v>
      </c>
      <c r="C7" s="4">
        <v>25673479.745581977</v>
      </c>
      <c r="D7" s="4">
        <v>15634258.347663153</v>
      </c>
      <c r="E7" s="4">
        <v>15097973.745671535</v>
      </c>
      <c r="F7" s="4">
        <v>21000000</v>
      </c>
      <c r="G7" s="30">
        <v>23542551.827004347</v>
      </c>
      <c r="H7" s="4">
        <v>8985676</v>
      </c>
      <c r="I7" s="4">
        <v>6391002</v>
      </c>
      <c r="J7" s="4">
        <v>6667341</v>
      </c>
      <c r="K7" s="4">
        <v>5015453</v>
      </c>
      <c r="L7" s="30">
        <v>3987291</v>
      </c>
      <c r="M7" s="4">
        <v>1041133</v>
      </c>
      <c r="N7" s="4">
        <v>1103480</v>
      </c>
      <c r="O7" s="4">
        <v>1162375</v>
      </c>
      <c r="P7" s="30">
        <v>1293544</v>
      </c>
      <c r="Q7" s="18"/>
      <c r="U7" s="30"/>
      <c r="V7" s="33">
        <v>57907186</v>
      </c>
      <c r="W7" s="11">
        <v>69723041</v>
      </c>
      <c r="X7" s="11">
        <v>49083983</v>
      </c>
      <c r="Y7" s="55">
        <v>54343063</v>
      </c>
      <c r="Z7" s="92">
        <v>49016767.396668091</v>
      </c>
      <c r="AA7" s="34">
        <v>32532946.447702259</v>
      </c>
      <c r="AB7" s="34">
        <v>33033297.812979862</v>
      </c>
      <c r="AC7" s="34">
        <v>41130675.617275782</v>
      </c>
      <c r="AD7" s="40">
        <v>43901661.651000001</v>
      </c>
      <c r="AE7" s="18">
        <v>154412</v>
      </c>
      <c r="AF7" s="4">
        <v>80380</v>
      </c>
      <c r="AG7" s="4">
        <v>106968</v>
      </c>
      <c r="AH7" s="4">
        <v>78600.900000000009</v>
      </c>
      <c r="AI7" s="30">
        <v>78282.75</v>
      </c>
      <c r="AJ7" s="4">
        <v>16233621</v>
      </c>
      <c r="AK7" s="4">
        <v>11328957</v>
      </c>
      <c r="AL7" s="4">
        <v>11524422</v>
      </c>
      <c r="AM7" s="4">
        <v>12554645</v>
      </c>
      <c r="AN7" s="30">
        <v>12480496</v>
      </c>
      <c r="AO7" s="79">
        <v>8409462.0592345074</v>
      </c>
      <c r="AP7" s="79">
        <v>5728154.7311664643</v>
      </c>
      <c r="AQ7" s="79">
        <v>5074839.6148238154</v>
      </c>
      <c r="AR7" s="79">
        <v>5592554.5565006081</v>
      </c>
      <c r="AS7" s="80">
        <v>5889536</v>
      </c>
      <c r="AT7" s="79">
        <v>22547295</v>
      </c>
      <c r="AU7" s="79">
        <v>20863845</v>
      </c>
      <c r="AV7" s="79">
        <v>19330560</v>
      </c>
      <c r="AW7" s="79">
        <v>17661510</v>
      </c>
      <c r="AX7" s="80">
        <v>19632915</v>
      </c>
      <c r="AY7" s="4">
        <v>24967618</v>
      </c>
      <c r="AZ7" s="4">
        <v>12984122</v>
      </c>
      <c r="BA7" s="4">
        <v>16643099</v>
      </c>
      <c r="BB7" s="4">
        <v>24783282</v>
      </c>
      <c r="BC7" s="30">
        <v>26647763</v>
      </c>
    </row>
    <row r="8" spans="1:55" s="4" customFormat="1" x14ac:dyDescent="0.2">
      <c r="A8" s="4">
        <v>5</v>
      </c>
      <c r="B8" s="82" t="s">
        <v>14</v>
      </c>
      <c r="C8" s="4">
        <v>144977887</v>
      </c>
      <c r="D8" s="4">
        <v>132586075.99816298</v>
      </c>
      <c r="E8" s="4">
        <v>134059706.40957886</v>
      </c>
      <c r="F8" s="4">
        <v>147000000</v>
      </c>
      <c r="G8" s="30">
        <v>151087890.66469038</v>
      </c>
      <c r="H8" s="17" t="s">
        <v>28</v>
      </c>
      <c r="I8" s="17" t="s">
        <v>28</v>
      </c>
      <c r="J8" s="17" t="s">
        <v>28</v>
      </c>
      <c r="K8" s="17" t="s">
        <v>28</v>
      </c>
      <c r="L8" s="56" t="s">
        <v>28</v>
      </c>
      <c r="M8" s="4">
        <v>103603458</v>
      </c>
      <c r="N8" s="4">
        <v>146861904</v>
      </c>
      <c r="O8" s="4">
        <v>155748138</v>
      </c>
      <c r="P8" s="30">
        <v>155748138</v>
      </c>
      <c r="Q8" s="18"/>
      <c r="U8" s="30"/>
      <c r="V8" s="33">
        <v>247890837</v>
      </c>
      <c r="W8" s="11">
        <v>245000000</v>
      </c>
      <c r="X8" s="11">
        <v>245000000</v>
      </c>
      <c r="Y8" s="55">
        <v>419523192</v>
      </c>
      <c r="Z8" s="92">
        <f t="shared" ref="Z8:AI8" si="0">Z5</f>
        <v>177965655.75799999</v>
      </c>
      <c r="AA8" s="34">
        <f t="shared" si="0"/>
        <v>165383958.85799998</v>
      </c>
      <c r="AB8" s="34">
        <f t="shared" si="0"/>
        <v>176429102.99700001</v>
      </c>
      <c r="AC8" s="34">
        <f t="shared" si="0"/>
        <v>174220060.03099999</v>
      </c>
      <c r="AD8" s="40">
        <f t="shared" si="0"/>
        <v>171591533.14999998</v>
      </c>
      <c r="AE8" s="18">
        <f t="shared" si="0"/>
        <v>1104240</v>
      </c>
      <c r="AF8" s="4">
        <f t="shared" si="0"/>
        <v>775100</v>
      </c>
      <c r="AG8" s="4">
        <f t="shared" si="0"/>
        <v>775100</v>
      </c>
      <c r="AH8" s="4">
        <f t="shared" si="0"/>
        <v>775100</v>
      </c>
      <c r="AI8" s="30">
        <f t="shared" si="0"/>
        <v>775100</v>
      </c>
      <c r="AJ8" s="4">
        <v>105189717</v>
      </c>
      <c r="AK8" s="4">
        <v>99704643</v>
      </c>
      <c r="AL8" s="4">
        <v>95612640</v>
      </c>
      <c r="AM8" s="4">
        <v>97542876</v>
      </c>
      <c r="AN8" s="30">
        <v>96912303</v>
      </c>
      <c r="AO8" s="79">
        <f>+AO5</f>
        <v>81061691.719999999</v>
      </c>
      <c r="AP8" s="79">
        <f>+AP5</f>
        <v>81061691.719999999</v>
      </c>
      <c r="AQ8" s="79">
        <f>+AQ5</f>
        <v>70537373.719999999</v>
      </c>
      <c r="AR8" s="79">
        <f>+AR5</f>
        <v>68617847.719999999</v>
      </c>
      <c r="AS8" s="80">
        <f>+AS5</f>
        <v>64778795.719999999</v>
      </c>
      <c r="AT8" s="79"/>
      <c r="AU8" s="79"/>
      <c r="AV8" s="79"/>
      <c r="AW8" s="79"/>
      <c r="AX8" s="80"/>
      <c r="AY8" s="4">
        <v>106102796</v>
      </c>
      <c r="AZ8" s="4">
        <v>118717152</v>
      </c>
      <c r="BA8" s="4">
        <v>118717152</v>
      </c>
      <c r="BB8" s="4">
        <v>118717152</v>
      </c>
      <c r="BC8" s="30">
        <v>117135059</v>
      </c>
    </row>
    <row r="9" spans="1:55" s="4" customFormat="1" x14ac:dyDescent="0.2">
      <c r="A9" s="4">
        <v>6</v>
      </c>
      <c r="B9" s="82" t="s">
        <v>15</v>
      </c>
      <c r="C9" s="4">
        <v>434929.99999999994</v>
      </c>
      <c r="D9" s="4">
        <v>401815.35107132077</v>
      </c>
      <c r="E9" s="4">
        <v>414689.31810017332</v>
      </c>
      <c r="F9" s="4">
        <v>414000</v>
      </c>
      <c r="G9" s="30">
        <v>415897.62042830879</v>
      </c>
      <c r="H9" s="4">
        <f>SUM(H4)</f>
        <v>370351</v>
      </c>
      <c r="I9" s="4">
        <f>SUM(I4)</f>
        <v>372144</v>
      </c>
      <c r="J9" s="4">
        <f>SUM(J4)</f>
        <v>356644</v>
      </c>
      <c r="K9" s="4">
        <f>SUM(K4)</f>
        <v>353267</v>
      </c>
      <c r="L9" s="30">
        <f>SUM(L4)</f>
        <v>407606</v>
      </c>
      <c r="M9" s="4">
        <v>157737</v>
      </c>
      <c r="N9" s="4">
        <v>209236</v>
      </c>
      <c r="O9" s="4">
        <v>219814</v>
      </c>
      <c r="P9" s="30">
        <v>219814</v>
      </c>
      <c r="Q9" s="18"/>
      <c r="U9" s="30"/>
      <c r="V9" s="33">
        <f>V4*1.15</f>
        <v>2119171.6999999997</v>
      </c>
      <c r="W9" s="11">
        <f>W4*1.15</f>
        <v>2127500</v>
      </c>
      <c r="X9" s="11">
        <f>X4*1.15</f>
        <v>2127500</v>
      </c>
      <c r="Y9" s="55">
        <f>Y4*1.15</f>
        <v>2233572.5499999998</v>
      </c>
      <c r="Z9" s="93">
        <f>Z4</f>
        <v>1130785.861</v>
      </c>
      <c r="AA9" s="38">
        <f>AA4</f>
        <v>1004997.1610000001</v>
      </c>
      <c r="AB9" s="38">
        <f>AB4</f>
        <v>1040157.203</v>
      </c>
      <c r="AC9" s="38">
        <f>AC4</f>
        <v>1014144.7330000001</v>
      </c>
      <c r="AD9" s="77">
        <f>AD4</f>
        <v>982643.37</v>
      </c>
      <c r="AE9" s="18">
        <f>AE4*1.15</f>
        <v>47789.399999999994</v>
      </c>
      <c r="AF9" s="4">
        <f>AF4*1.15</f>
        <v>38755</v>
      </c>
      <c r="AG9" s="4">
        <f>AG4*1.15</f>
        <v>38755</v>
      </c>
      <c r="AH9" s="4">
        <f>AH4*1.15</f>
        <v>38755</v>
      </c>
      <c r="AI9" s="30">
        <f>AI4*1.15</f>
        <v>38755</v>
      </c>
      <c r="AJ9" s="4">
        <v>946923</v>
      </c>
      <c r="AK9" s="4">
        <v>898242</v>
      </c>
      <c r="AL9" s="4">
        <v>892322</v>
      </c>
      <c r="AM9" s="4">
        <v>911206</v>
      </c>
      <c r="AN9" s="30">
        <v>905328</v>
      </c>
      <c r="AO9" s="79">
        <f>+AO4</f>
        <v>416031</v>
      </c>
      <c r="AP9" s="79">
        <f>+AP4</f>
        <v>416031</v>
      </c>
      <c r="AQ9" s="79">
        <f>+AQ4</f>
        <v>344437</v>
      </c>
      <c r="AR9" s="79">
        <f>+AR4</f>
        <v>331379</v>
      </c>
      <c r="AS9" s="80">
        <f>+AS4</f>
        <v>326502</v>
      </c>
      <c r="AT9" s="79"/>
      <c r="AU9" s="79"/>
      <c r="AV9" s="79"/>
      <c r="AW9" s="79"/>
      <c r="AX9" s="80"/>
      <c r="AY9" s="4">
        <v>561583</v>
      </c>
      <c r="AZ9" s="4">
        <v>563986</v>
      </c>
      <c r="BA9" s="4">
        <v>563986</v>
      </c>
      <c r="BB9" s="4">
        <v>555950</v>
      </c>
      <c r="BC9" s="30">
        <v>551805</v>
      </c>
    </row>
    <row r="10" spans="1:55" s="4" customFormat="1" x14ac:dyDescent="0.2">
      <c r="A10" s="4">
        <v>6</v>
      </c>
      <c r="B10" s="54" t="s">
        <v>66</v>
      </c>
      <c r="C10" s="4">
        <v>124589640.45065281</v>
      </c>
      <c r="D10" s="4">
        <v>165146032.42457849</v>
      </c>
      <c r="E10" s="4">
        <v>177576135.83583185</v>
      </c>
      <c r="F10" s="4">
        <v>149354941.58445421</v>
      </c>
      <c r="G10" s="30">
        <v>176086728.30584818</v>
      </c>
      <c r="I10" s="4">
        <v>167142007</v>
      </c>
      <c r="J10" s="4">
        <v>170292707</v>
      </c>
      <c r="K10" s="4">
        <v>237860317</v>
      </c>
      <c r="L10" s="30">
        <v>234224024</v>
      </c>
      <c r="M10" s="4">
        <v>33316751</v>
      </c>
      <c r="N10" s="4">
        <v>30192136</v>
      </c>
      <c r="O10" s="4">
        <v>43417468</v>
      </c>
      <c r="P10" s="30">
        <v>48319002</v>
      </c>
      <c r="Q10" s="18"/>
      <c r="U10" s="30"/>
      <c r="V10" s="33">
        <v>337647140</v>
      </c>
      <c r="W10" s="83">
        <v>293650615</v>
      </c>
      <c r="X10" s="83">
        <v>317497581</v>
      </c>
      <c r="Y10" s="55">
        <v>384020890</v>
      </c>
      <c r="Z10" s="92">
        <v>110792000</v>
      </c>
      <c r="AA10" s="34">
        <v>140709000</v>
      </c>
      <c r="AB10" s="34">
        <v>142469000</v>
      </c>
      <c r="AC10" s="34">
        <v>148990000</v>
      </c>
      <c r="AD10" s="40">
        <v>218996000</v>
      </c>
      <c r="AE10" s="18"/>
      <c r="AI10" s="30"/>
      <c r="AN10" s="30"/>
      <c r="AO10" s="79">
        <v>126949000</v>
      </c>
      <c r="AP10" s="79">
        <v>148353000</v>
      </c>
      <c r="AQ10" s="79">
        <v>133075000</v>
      </c>
      <c r="AR10" s="79">
        <v>139475000</v>
      </c>
      <c r="AS10" s="80">
        <v>155546000</v>
      </c>
      <c r="AT10" s="79">
        <v>436628693</v>
      </c>
      <c r="AU10" s="79">
        <v>429929353</v>
      </c>
      <c r="AV10" s="79">
        <v>411519337</v>
      </c>
      <c r="AW10" s="79">
        <v>460845180</v>
      </c>
      <c r="AX10" s="80">
        <v>526337182</v>
      </c>
      <c r="AY10" s="4">
        <v>101545189.94622999</v>
      </c>
      <c r="AZ10" s="4">
        <v>69895626.203961894</v>
      </c>
      <c r="BA10" s="4">
        <v>54741395.6662957</v>
      </c>
      <c r="BB10" s="4">
        <v>48240744.2607852</v>
      </c>
      <c r="BC10" s="30">
        <v>100728776.31445399</v>
      </c>
    </row>
    <row r="11" spans="1:55" s="4" customFormat="1" x14ac:dyDescent="0.2">
      <c r="A11" s="4">
        <v>7</v>
      </c>
      <c r="B11" s="4" t="s">
        <v>67</v>
      </c>
      <c r="C11" s="4">
        <v>1000000</v>
      </c>
      <c r="D11" s="4">
        <v>1000000</v>
      </c>
      <c r="E11" s="4">
        <v>1000000</v>
      </c>
      <c r="F11" s="4">
        <v>1000000</v>
      </c>
      <c r="G11" s="30">
        <v>1000000</v>
      </c>
      <c r="H11" s="4">
        <v>0</v>
      </c>
      <c r="I11" s="4">
        <v>0</v>
      </c>
      <c r="J11" s="4">
        <v>0</v>
      </c>
      <c r="K11" s="4">
        <v>0</v>
      </c>
      <c r="L11" s="30">
        <v>0</v>
      </c>
      <c r="P11" s="30"/>
      <c r="Q11" s="18"/>
      <c r="U11" s="30"/>
      <c r="V11" s="33"/>
      <c r="W11" s="83"/>
      <c r="X11" s="83"/>
      <c r="Y11" s="55"/>
      <c r="Z11" s="92"/>
      <c r="AA11" s="34"/>
      <c r="AB11" s="34"/>
      <c r="AC11" s="34"/>
      <c r="AD11" s="40"/>
      <c r="AE11" s="18"/>
      <c r="AI11" s="30"/>
      <c r="AN11" s="30"/>
      <c r="AO11" s="79"/>
      <c r="AP11" s="79"/>
      <c r="AQ11" s="79"/>
      <c r="AR11" s="79"/>
      <c r="AS11" s="80"/>
      <c r="AT11" s="79"/>
      <c r="AU11" s="79"/>
      <c r="AV11" s="79"/>
      <c r="AW11" s="79"/>
      <c r="AX11" s="80"/>
      <c r="AY11" s="4">
        <v>0</v>
      </c>
      <c r="AZ11" s="4">
        <v>0</v>
      </c>
      <c r="BA11" s="4">
        <v>0</v>
      </c>
      <c r="BB11" s="4">
        <v>0</v>
      </c>
      <c r="BC11" s="30">
        <v>0</v>
      </c>
    </row>
    <row r="12" spans="1:55" s="4" customFormat="1" x14ac:dyDescent="0.2">
      <c r="B12" s="4" t="s">
        <v>18</v>
      </c>
      <c r="C12" s="4">
        <v>35073808.5</v>
      </c>
      <c r="D12" s="4">
        <v>31143438.98</v>
      </c>
      <c r="E12" s="4">
        <v>29000000</v>
      </c>
      <c r="F12" s="4">
        <v>29000000</v>
      </c>
      <c r="G12" s="30">
        <v>29000000</v>
      </c>
      <c r="H12" s="4">
        <v>0</v>
      </c>
      <c r="I12" s="4">
        <v>2900000</v>
      </c>
      <c r="J12" s="4">
        <v>1025453</v>
      </c>
      <c r="K12" s="4">
        <v>1025453</v>
      </c>
      <c r="L12" s="30">
        <v>0</v>
      </c>
      <c r="P12" s="30"/>
      <c r="U12" s="30"/>
      <c r="V12" s="33"/>
      <c r="W12" s="83"/>
      <c r="X12" s="83"/>
      <c r="Y12" s="55"/>
      <c r="Z12" s="92"/>
      <c r="AA12" s="34"/>
      <c r="AB12" s="34"/>
      <c r="AC12" s="34"/>
      <c r="AD12" s="40"/>
      <c r="AE12" s="18"/>
      <c r="AI12" s="30"/>
      <c r="AN12" s="30"/>
      <c r="AO12" s="79"/>
      <c r="AP12" s="79">
        <v>18000000</v>
      </c>
      <c r="AQ12" s="79">
        <v>8910000</v>
      </c>
      <c r="AR12" s="79">
        <v>8783000</v>
      </c>
      <c r="AS12" s="13"/>
      <c r="AT12" s="19"/>
      <c r="AU12" s="19"/>
      <c r="AV12" s="19"/>
      <c r="AW12" s="19"/>
      <c r="AX12" s="13"/>
      <c r="AY12" s="4">
        <v>0</v>
      </c>
      <c r="AZ12" s="4">
        <v>30200000</v>
      </c>
      <c r="BA12" s="4">
        <v>27200000</v>
      </c>
      <c r="BB12" s="4">
        <v>29900000</v>
      </c>
      <c r="BC12" s="30">
        <v>3400000</v>
      </c>
    </row>
    <row r="13" spans="1:55" s="4" customFormat="1" x14ac:dyDescent="0.2">
      <c r="B13" s="4" t="s">
        <v>68</v>
      </c>
      <c r="C13" s="4">
        <v>160663448.95065278</v>
      </c>
      <c r="D13" s="4">
        <v>197289471.40457851</v>
      </c>
      <c r="E13" s="4">
        <v>207576135.83583185</v>
      </c>
      <c r="F13" s="4">
        <v>179354941.58445421</v>
      </c>
      <c r="G13" s="30">
        <v>206086728.30584818</v>
      </c>
      <c r="H13" s="4">
        <f>SUM(H10:H12)</f>
        <v>0</v>
      </c>
      <c r="I13" s="4">
        <f>SUM(I10:I12)</f>
        <v>170042007</v>
      </c>
      <c r="J13" s="4">
        <f>SUM(J10:J12)</f>
        <v>171318160</v>
      </c>
      <c r="K13" s="4">
        <f>SUM(K10:K12)</f>
        <v>238885770</v>
      </c>
      <c r="L13" s="30">
        <f>SUM(L10:L12)</f>
        <v>234224024</v>
      </c>
      <c r="P13" s="30"/>
      <c r="U13" s="30"/>
      <c r="V13" s="33"/>
      <c r="W13" s="83"/>
      <c r="X13" s="83"/>
      <c r="Y13" s="55"/>
      <c r="Z13" s="92"/>
      <c r="AA13" s="34"/>
      <c r="AB13" s="34"/>
      <c r="AC13" s="34"/>
      <c r="AD13" s="40"/>
      <c r="AE13" s="18"/>
      <c r="AI13" s="30"/>
      <c r="AN13" s="30"/>
      <c r="AS13" s="30"/>
      <c r="AX13" s="30"/>
      <c r="AY13" s="108"/>
      <c r="AZ13" s="108"/>
      <c r="BA13" s="108"/>
      <c r="BB13" s="108"/>
      <c r="BC13" s="61"/>
    </row>
    <row r="14" spans="1:55" s="4" customFormat="1" x14ac:dyDescent="0.2">
      <c r="B14" s="4" t="s">
        <v>19</v>
      </c>
      <c r="C14" s="4">
        <v>55099565.495466396</v>
      </c>
      <c r="D14" s="4">
        <v>29079047.151489895</v>
      </c>
      <c r="E14" s="4">
        <v>27350708.013237085</v>
      </c>
      <c r="F14" s="4">
        <v>40335786.16385673</v>
      </c>
      <c r="G14" s="30">
        <v>51068480.312091023</v>
      </c>
      <c r="L14" s="30"/>
      <c r="M14" s="4">
        <v>9834231.4814814813</v>
      </c>
      <c r="N14" s="4">
        <v>8989323.7209302336</v>
      </c>
      <c r="O14" s="4">
        <v>7416545.5357142854</v>
      </c>
      <c r="P14" s="30">
        <v>4841519.6428571427</v>
      </c>
      <c r="U14" s="30"/>
      <c r="V14" s="33">
        <v>53839753</v>
      </c>
      <c r="W14" s="83">
        <v>57915766</v>
      </c>
      <c r="X14" s="83">
        <v>66324490</v>
      </c>
      <c r="Y14" s="55">
        <v>72005625</v>
      </c>
      <c r="Z14" s="92">
        <v>82866375.892857134</v>
      </c>
      <c r="AA14" s="34">
        <v>59285792.857142851</v>
      </c>
      <c r="AB14" s="34">
        <v>60719438.392857134</v>
      </c>
      <c r="AC14" s="34">
        <v>80836633.928571418</v>
      </c>
      <c r="AD14" s="40">
        <v>82305106.249999985</v>
      </c>
      <c r="AE14" s="18">
        <v>215360</v>
      </c>
      <c r="AF14" s="4">
        <v>149439</v>
      </c>
      <c r="AG14" s="4">
        <v>138090</v>
      </c>
      <c r="AH14" s="4">
        <v>184555</v>
      </c>
      <c r="AI14" s="30">
        <v>803061</v>
      </c>
      <c r="AN14" s="30"/>
      <c r="AO14" s="79">
        <f>31287720.3+56153.6+4539.6</f>
        <v>31348413.500000004</v>
      </c>
      <c r="AP14" s="79">
        <v>23078424</v>
      </c>
      <c r="AQ14" s="79">
        <v>19555134</v>
      </c>
      <c r="AR14" s="79">
        <v>23645333</v>
      </c>
      <c r="AS14" s="80">
        <v>26625796</v>
      </c>
      <c r="AT14" s="79">
        <v>57360979</v>
      </c>
      <c r="AU14" s="79">
        <v>48624764</v>
      </c>
      <c r="AV14" s="79">
        <v>49254276</v>
      </c>
      <c r="AW14" s="79">
        <v>55009201</v>
      </c>
      <c r="AX14" s="80">
        <v>53183565</v>
      </c>
      <c r="AY14" s="4">
        <v>61700000</v>
      </c>
      <c r="AZ14" s="4">
        <v>46600000</v>
      </c>
      <c r="BA14" s="4">
        <v>49700000</v>
      </c>
      <c r="BB14" s="4">
        <v>65500000</v>
      </c>
      <c r="BC14" s="30">
        <v>73900000</v>
      </c>
    </row>
    <row r="15" spans="1:55" s="4" customFormat="1" x14ac:dyDescent="0.2">
      <c r="B15" s="4" t="s">
        <v>20</v>
      </c>
      <c r="C15" s="4">
        <v>216002014.44611919</v>
      </c>
      <c r="D15" s="4">
        <v>227678077.7459718</v>
      </c>
      <c r="E15" s="4">
        <v>235468442.6167919</v>
      </c>
      <c r="F15" s="4">
        <v>220082077.59263587</v>
      </c>
      <c r="G15" s="30">
        <v>257532770.32156113</v>
      </c>
      <c r="H15" s="4">
        <v>0</v>
      </c>
      <c r="I15" s="4">
        <v>0</v>
      </c>
      <c r="J15" s="4">
        <v>0</v>
      </c>
      <c r="K15" s="4">
        <v>0</v>
      </c>
      <c r="L15" s="30">
        <v>0</v>
      </c>
      <c r="M15" s="4">
        <v>31516751</v>
      </c>
      <c r="N15" s="4">
        <v>28342136</v>
      </c>
      <c r="O15" s="4">
        <v>41467468</v>
      </c>
      <c r="P15" s="30">
        <v>46269002</v>
      </c>
      <c r="U15" s="30"/>
      <c r="V15" s="69">
        <v>399173552</v>
      </c>
      <c r="W15" s="58">
        <v>360075006</v>
      </c>
      <c r="X15" s="58">
        <v>388099564</v>
      </c>
      <c r="Y15" s="59">
        <v>456535229</v>
      </c>
      <c r="Z15" s="92">
        <v>190018749</v>
      </c>
      <c r="AA15" s="34">
        <v>253690393</v>
      </c>
      <c r="AB15" s="34">
        <v>254443651</v>
      </c>
      <c r="AC15" s="34">
        <v>225144375</v>
      </c>
      <c r="AD15" s="40">
        <v>290945782</v>
      </c>
      <c r="AE15" s="18">
        <v>6437821</v>
      </c>
      <c r="AF15" s="4">
        <v>6659263</v>
      </c>
      <c r="AG15" s="4">
        <v>6450000</v>
      </c>
      <c r="AH15" s="4">
        <v>6753547</v>
      </c>
      <c r="AI15" s="30">
        <v>17837511</v>
      </c>
      <c r="AN15" s="30"/>
      <c r="AO15" s="79">
        <v>158518120</v>
      </c>
      <c r="AP15" s="79">
        <v>174641273</v>
      </c>
      <c r="AQ15" s="79">
        <v>140650177</v>
      </c>
      <c r="AR15" s="79">
        <v>165337615</v>
      </c>
      <c r="AS15" s="80">
        <v>192909227</v>
      </c>
      <c r="AT15" s="79">
        <v>449661215</v>
      </c>
      <c r="AU15" s="79">
        <v>469790035</v>
      </c>
      <c r="AV15" s="79">
        <v>467850030</v>
      </c>
      <c r="AW15" s="79">
        <v>506425397</v>
      </c>
      <c r="AX15" s="80">
        <v>623889745</v>
      </c>
      <c r="AY15" s="4">
        <v>166178189.94622999</v>
      </c>
      <c r="AZ15" s="4">
        <v>147211626.203962</v>
      </c>
      <c r="BA15" s="4">
        <v>131998395.66629601</v>
      </c>
      <c r="BB15" s="4">
        <v>143808744.26078501</v>
      </c>
      <c r="BC15" s="30">
        <v>178268776.31445399</v>
      </c>
    </row>
    <row r="16" spans="1:55" s="4" customFormat="1" x14ac:dyDescent="0.2">
      <c r="B16" s="84" t="s">
        <v>21</v>
      </c>
      <c r="C16" s="4">
        <v>0</v>
      </c>
      <c r="D16" s="4">
        <v>0</v>
      </c>
      <c r="E16" s="4">
        <v>0</v>
      </c>
      <c r="F16" s="4">
        <v>0</v>
      </c>
      <c r="G16" s="30">
        <v>0</v>
      </c>
      <c r="H16" s="4">
        <v>0</v>
      </c>
      <c r="I16" s="4">
        <v>0</v>
      </c>
      <c r="J16" s="4">
        <v>0</v>
      </c>
      <c r="K16" s="4">
        <v>0</v>
      </c>
      <c r="L16" s="30">
        <v>0</v>
      </c>
      <c r="M16" s="4">
        <v>1800000</v>
      </c>
      <c r="N16" s="4">
        <v>1850000</v>
      </c>
      <c r="O16" s="4">
        <v>1950000</v>
      </c>
      <c r="P16" s="30">
        <v>2050000</v>
      </c>
      <c r="U16" s="30"/>
      <c r="V16" s="18"/>
      <c r="Y16" s="30"/>
      <c r="Z16" s="92">
        <v>4740000</v>
      </c>
      <c r="AA16" s="34">
        <v>6496000</v>
      </c>
      <c r="AB16" s="34">
        <v>12672000</v>
      </c>
      <c r="AC16" s="34">
        <v>8308000</v>
      </c>
      <c r="AD16" s="40">
        <v>11680000</v>
      </c>
      <c r="AE16" s="18"/>
      <c r="AI16" s="30"/>
      <c r="AN16" s="30"/>
      <c r="AO16" s="79"/>
      <c r="AP16" s="79"/>
      <c r="AQ16" s="79"/>
      <c r="AR16" s="79"/>
      <c r="AS16" s="80"/>
      <c r="AT16" s="79"/>
      <c r="AU16" s="79"/>
      <c r="AV16" s="79"/>
      <c r="AW16" s="79"/>
      <c r="AX16" s="80"/>
      <c r="AY16" s="4">
        <v>0</v>
      </c>
      <c r="AZ16" s="4">
        <v>0</v>
      </c>
      <c r="BA16" s="4">
        <v>0</v>
      </c>
      <c r="BB16" s="4">
        <v>0</v>
      </c>
      <c r="BC16" s="30">
        <v>0</v>
      </c>
    </row>
    <row r="17" spans="2:55" s="4" customFormat="1" x14ac:dyDescent="0.2">
      <c r="B17" s="84" t="s">
        <v>22</v>
      </c>
      <c r="C17" s="4">
        <v>216002014.44611919</v>
      </c>
      <c r="D17" s="4">
        <v>227678077.7459718</v>
      </c>
      <c r="E17" s="4">
        <v>235468442.6167919</v>
      </c>
      <c r="F17" s="4">
        <v>220082077.59263587</v>
      </c>
      <c r="G17" s="30">
        <v>257532770.32156113</v>
      </c>
      <c r="H17" s="4">
        <v>0</v>
      </c>
      <c r="I17" s="4">
        <v>0</v>
      </c>
      <c r="J17" s="4">
        <v>0</v>
      </c>
      <c r="K17" s="4">
        <v>0</v>
      </c>
      <c r="L17" s="30">
        <v>0</v>
      </c>
      <c r="M17" s="4">
        <f>SUM(M15:M16)</f>
        <v>33316751</v>
      </c>
      <c r="N17" s="4">
        <f t="shared" ref="N17:Q17" si="1">SUM(N15:N16)</f>
        <v>30192136</v>
      </c>
      <c r="O17" s="4">
        <f t="shared" si="1"/>
        <v>43417468</v>
      </c>
      <c r="P17" s="30">
        <f t="shared" si="1"/>
        <v>48319002</v>
      </c>
      <c r="Q17" s="4">
        <f t="shared" si="1"/>
        <v>0</v>
      </c>
      <c r="R17" s="4">
        <f t="shared" ref="R17" si="2">SUM(R15:R16)</f>
        <v>0</v>
      </c>
      <c r="S17" s="4">
        <f t="shared" ref="S17" si="3">SUM(S15:S16)</f>
        <v>0</v>
      </c>
      <c r="T17" s="4">
        <f t="shared" ref="T17:U17" si="4">SUM(T15:T16)</f>
        <v>0</v>
      </c>
      <c r="U17" s="4">
        <f t="shared" si="4"/>
        <v>0</v>
      </c>
      <c r="V17" s="69">
        <v>399173552</v>
      </c>
      <c r="W17" s="58">
        <v>360075006</v>
      </c>
      <c r="X17" s="58">
        <v>388099564</v>
      </c>
      <c r="Y17" s="59">
        <v>456535229</v>
      </c>
      <c r="Z17" s="92">
        <f t="shared" ref="Z17:AE17" si="5">SUM(Z15:Z16)</f>
        <v>194758749</v>
      </c>
      <c r="AA17" s="34">
        <f t="shared" si="5"/>
        <v>260186393</v>
      </c>
      <c r="AB17" s="34">
        <f t="shared" si="5"/>
        <v>267115651</v>
      </c>
      <c r="AC17" s="34">
        <f t="shared" si="5"/>
        <v>233452375</v>
      </c>
      <c r="AD17" s="40">
        <f t="shared" si="5"/>
        <v>302625782</v>
      </c>
      <c r="AE17" s="18">
        <f t="shared" si="5"/>
        <v>6437821</v>
      </c>
      <c r="AF17" s="18">
        <f t="shared" ref="AF17:AI17" si="6">SUM(AF15:AF16)</f>
        <v>6659263</v>
      </c>
      <c r="AG17" s="18">
        <f t="shared" si="6"/>
        <v>6450000</v>
      </c>
      <c r="AH17" s="18">
        <f t="shared" si="6"/>
        <v>6753547</v>
      </c>
      <c r="AI17" s="105">
        <f t="shared" si="6"/>
        <v>17837511</v>
      </c>
      <c r="AN17" s="30"/>
      <c r="AO17" s="79">
        <f t="shared" ref="AO17:AT17" si="7">SUM(AO15:AO16)</f>
        <v>158518120</v>
      </c>
      <c r="AP17" s="79">
        <f t="shared" si="7"/>
        <v>174641273</v>
      </c>
      <c r="AQ17" s="79">
        <f t="shared" si="7"/>
        <v>140650177</v>
      </c>
      <c r="AR17" s="79">
        <f t="shared" si="7"/>
        <v>165337615</v>
      </c>
      <c r="AS17" s="80">
        <f t="shared" si="7"/>
        <v>192909227</v>
      </c>
      <c r="AT17" s="79">
        <f t="shared" si="7"/>
        <v>449661215</v>
      </c>
      <c r="AU17" s="79">
        <f t="shared" ref="AU17:AX17" si="8">SUM(AU15:AU16)</f>
        <v>469790035</v>
      </c>
      <c r="AV17" s="79">
        <f t="shared" si="8"/>
        <v>467850030</v>
      </c>
      <c r="AW17" s="79">
        <f t="shared" si="8"/>
        <v>506425397</v>
      </c>
      <c r="AX17" s="80">
        <f t="shared" si="8"/>
        <v>623889745</v>
      </c>
      <c r="AY17" s="4">
        <v>166178189.94622999</v>
      </c>
      <c r="AZ17" s="4">
        <v>147211626.203962</v>
      </c>
      <c r="BA17" s="4">
        <v>131998395.66629601</v>
      </c>
      <c r="BB17" s="4">
        <v>143808744.26078501</v>
      </c>
      <c r="BC17" s="30">
        <v>178268776.31445399</v>
      </c>
    </row>
    <row r="18" spans="2:55" s="4" customFormat="1" x14ac:dyDescent="0.2">
      <c r="B18" s="14" t="s">
        <v>86</v>
      </c>
      <c r="C18" s="4">
        <v>11</v>
      </c>
      <c r="D18" s="4">
        <v>11</v>
      </c>
      <c r="E18" s="4">
        <v>11</v>
      </c>
      <c r="F18" s="4">
        <v>13</v>
      </c>
      <c r="G18" s="30">
        <v>14</v>
      </c>
      <c r="H18" s="4">
        <v>12</v>
      </c>
      <c r="I18" s="4">
        <v>12</v>
      </c>
      <c r="J18" s="4">
        <v>12</v>
      </c>
      <c r="K18" s="4">
        <v>13</v>
      </c>
      <c r="L18" s="30">
        <v>13</v>
      </c>
      <c r="M18" s="4">
        <v>5</v>
      </c>
      <c r="N18" s="4">
        <v>5</v>
      </c>
      <c r="O18" s="4">
        <v>5</v>
      </c>
      <c r="P18" s="30">
        <v>5</v>
      </c>
      <c r="R18" s="4">
        <v>2</v>
      </c>
      <c r="S18" s="4">
        <v>2</v>
      </c>
      <c r="T18" s="4">
        <v>2</v>
      </c>
      <c r="U18" s="30">
        <v>2</v>
      </c>
      <c r="V18" s="18">
        <v>28</v>
      </c>
      <c r="W18" s="4">
        <v>8</v>
      </c>
      <c r="X18" s="4">
        <v>28</v>
      </c>
      <c r="Y18" s="30">
        <v>28</v>
      </c>
      <c r="Z18" s="92">
        <v>7</v>
      </c>
      <c r="AA18" s="34">
        <v>7</v>
      </c>
      <c r="AB18" s="34">
        <v>7</v>
      </c>
      <c r="AC18" s="34">
        <v>7</v>
      </c>
      <c r="AD18" s="40">
        <v>7</v>
      </c>
      <c r="AE18" s="18">
        <v>2</v>
      </c>
      <c r="AF18" s="4">
        <v>2</v>
      </c>
      <c r="AG18" s="4">
        <v>2</v>
      </c>
      <c r="AH18" s="4">
        <v>2</v>
      </c>
      <c r="AI18" s="30">
        <v>2</v>
      </c>
      <c r="AN18" s="30"/>
      <c r="AO18" s="4">
        <v>4</v>
      </c>
      <c r="AP18" s="4">
        <v>4</v>
      </c>
      <c r="AQ18" s="4">
        <v>3</v>
      </c>
      <c r="AR18" s="4">
        <v>3</v>
      </c>
      <c r="AS18" s="30">
        <v>3</v>
      </c>
      <c r="AT18" s="4">
        <v>21</v>
      </c>
      <c r="AU18" s="4">
        <v>21</v>
      </c>
      <c r="AV18" s="4">
        <v>21</v>
      </c>
      <c r="AW18" s="4">
        <v>21</v>
      </c>
      <c r="AX18" s="30">
        <v>21</v>
      </c>
      <c r="BC18" s="30"/>
    </row>
    <row r="19" spans="2:55" s="4" customFormat="1" x14ac:dyDescent="0.2">
      <c r="B19" s="14" t="s">
        <v>87</v>
      </c>
      <c r="G19" s="30"/>
      <c r="L19" s="30"/>
      <c r="P19" s="30"/>
      <c r="U19" s="30"/>
      <c r="V19" s="4">
        <v>0</v>
      </c>
      <c r="W19" s="4">
        <v>0</v>
      </c>
      <c r="X19" s="4">
        <v>0</v>
      </c>
      <c r="Y19" s="30">
        <v>0</v>
      </c>
      <c r="Z19" s="34"/>
      <c r="AA19" s="34"/>
      <c r="AB19" s="34"/>
      <c r="AC19" s="34"/>
      <c r="AD19" s="40"/>
      <c r="AI19" s="30"/>
      <c r="AN19" s="30"/>
      <c r="AS19" s="30"/>
      <c r="AX19" s="30"/>
      <c r="BC19" s="30"/>
    </row>
    <row r="20" spans="2:55" s="4" customFormat="1" x14ac:dyDescent="0.2">
      <c r="B20" s="15" t="s">
        <v>24</v>
      </c>
      <c r="C20" s="4">
        <v>7516</v>
      </c>
      <c r="D20" s="4">
        <v>4392.3019999999997</v>
      </c>
      <c r="E20" s="4">
        <v>3285.2640000000001</v>
      </c>
      <c r="F20" s="4">
        <v>3104.6489999999999</v>
      </c>
      <c r="G20" s="30">
        <v>2496</v>
      </c>
      <c r="H20" s="4">
        <v>8021</v>
      </c>
      <c r="I20" s="4">
        <v>8222</v>
      </c>
      <c r="J20" s="4">
        <v>8349</v>
      </c>
      <c r="K20" s="4">
        <v>8339</v>
      </c>
      <c r="L20" s="30">
        <v>8497</v>
      </c>
      <c r="M20" s="4">
        <v>877</v>
      </c>
      <c r="N20" s="4">
        <v>960</v>
      </c>
      <c r="O20" s="4">
        <v>933</v>
      </c>
      <c r="P20" s="30">
        <v>975</v>
      </c>
      <c r="Q20" s="11">
        <v>0</v>
      </c>
      <c r="R20" s="11">
        <v>793</v>
      </c>
      <c r="S20" s="11">
        <v>822</v>
      </c>
      <c r="T20" s="11">
        <v>410</v>
      </c>
      <c r="U20" s="55">
        <v>320</v>
      </c>
      <c r="V20" s="11">
        <v>44100</v>
      </c>
      <c r="W20" s="11">
        <v>44700</v>
      </c>
      <c r="X20" s="11">
        <v>47400</v>
      </c>
      <c r="Y20" s="55">
        <v>47100</v>
      </c>
      <c r="Z20" s="34">
        <v>20016</v>
      </c>
      <c r="AA20" s="34">
        <v>18745</v>
      </c>
      <c r="AB20" s="34">
        <v>20253</v>
      </c>
      <c r="AC20" s="34">
        <v>20932</v>
      </c>
      <c r="AD20" s="40">
        <v>20456</v>
      </c>
      <c r="AE20" s="11">
        <f>((28700)*2.66)/1000</f>
        <v>76.341999999999999</v>
      </c>
      <c r="AF20" s="11">
        <f>((28700)*2.66)/1000</f>
        <v>76.341999999999999</v>
      </c>
      <c r="AG20" s="11">
        <f>((28700)*2.66)/1000</f>
        <v>76.341999999999999</v>
      </c>
      <c r="AH20" s="11">
        <f>((28700)*2.66)/1000</f>
        <v>76.341999999999999</v>
      </c>
      <c r="AI20" s="85">
        <f>((73901+27300)*2.66)/1000</f>
        <v>269.19466000000006</v>
      </c>
      <c r="AJ20" s="98"/>
      <c r="AK20" s="98"/>
      <c r="AL20" s="98"/>
      <c r="AM20" s="98"/>
      <c r="AN20" s="85"/>
      <c r="AO20" s="19">
        <v>8375</v>
      </c>
      <c r="AP20" s="19">
        <v>8771</v>
      </c>
      <c r="AQ20" s="19">
        <v>7826</v>
      </c>
      <c r="AR20" s="19">
        <v>7733</v>
      </c>
      <c r="AS20" s="13">
        <v>7018</v>
      </c>
      <c r="AT20" s="11">
        <v>34850</v>
      </c>
      <c r="AU20" s="11">
        <v>33601</v>
      </c>
      <c r="AV20" s="11">
        <v>34391</v>
      </c>
      <c r="AW20" s="11">
        <v>38111</v>
      </c>
      <c r="AX20" s="86">
        <v>38386</v>
      </c>
      <c r="AZ20" s="4">
        <v>12083</v>
      </c>
      <c r="BA20" s="4">
        <v>12222</v>
      </c>
      <c r="BB20" s="4">
        <v>12545</v>
      </c>
      <c r="BC20" s="30">
        <v>11524</v>
      </c>
    </row>
    <row r="21" spans="2:55" s="4" customFormat="1" x14ac:dyDescent="0.2">
      <c r="B21" s="29" t="s">
        <v>37</v>
      </c>
      <c r="G21" s="30"/>
      <c r="L21" s="30"/>
      <c r="P21" s="30"/>
      <c r="U21" s="30"/>
      <c r="Y21" s="30"/>
      <c r="Z21" s="34"/>
      <c r="AA21" s="34"/>
      <c r="AB21" s="34"/>
      <c r="AC21" s="34"/>
      <c r="AD21" s="40"/>
      <c r="AI21" s="30"/>
      <c r="AN21" s="30"/>
      <c r="AS21" s="30"/>
      <c r="AX21" s="30"/>
      <c r="BC21" s="30"/>
    </row>
    <row r="22" spans="2:55" s="4" customFormat="1" x14ac:dyDescent="0.2">
      <c r="B22" s="4" t="s">
        <v>46</v>
      </c>
      <c r="C22" s="4">
        <f>C17-C14</f>
        <v>160902448.95065278</v>
      </c>
      <c r="D22" s="4">
        <f t="shared" ref="D22:G22" si="9">D17-D14</f>
        <v>198599030.59448192</v>
      </c>
      <c r="E22" s="4">
        <f t="shared" si="9"/>
        <v>208117734.60355482</v>
      </c>
      <c r="F22" s="4">
        <f t="shared" si="9"/>
        <v>179746291.42877913</v>
      </c>
      <c r="G22" s="30">
        <f t="shared" si="9"/>
        <v>206464290.00947011</v>
      </c>
      <c r="H22" s="4">
        <f>H17-H14</f>
        <v>0</v>
      </c>
      <c r="I22" s="4">
        <f t="shared" ref="I22:M22" si="10">I17-I14</f>
        <v>0</v>
      </c>
      <c r="J22" s="4">
        <f t="shared" si="10"/>
        <v>0</v>
      </c>
      <c r="K22" s="4">
        <f t="shared" si="10"/>
        <v>0</v>
      </c>
      <c r="L22" s="30">
        <f t="shared" si="10"/>
        <v>0</v>
      </c>
      <c r="M22" s="4">
        <f t="shared" si="10"/>
        <v>23482519.518518519</v>
      </c>
      <c r="N22" s="4">
        <f t="shared" ref="N22:Q22" si="11">N17-N14</f>
        <v>21202812.279069766</v>
      </c>
      <c r="O22" s="4">
        <f t="shared" si="11"/>
        <v>36000922.464285716</v>
      </c>
      <c r="P22" s="30">
        <f t="shared" si="11"/>
        <v>43477482.357142858</v>
      </c>
      <c r="Q22" s="4">
        <f t="shared" si="11"/>
        <v>0</v>
      </c>
      <c r="R22" s="4">
        <f t="shared" ref="R22:Y22" si="12">R17-R14</f>
        <v>0</v>
      </c>
      <c r="S22" s="4">
        <f t="shared" si="12"/>
        <v>0</v>
      </c>
      <c r="T22" s="4">
        <f t="shared" si="12"/>
        <v>0</v>
      </c>
      <c r="U22" s="4">
        <f t="shared" si="12"/>
        <v>0</v>
      </c>
      <c r="V22" s="4">
        <f t="shared" si="12"/>
        <v>345333799</v>
      </c>
      <c r="W22" s="4">
        <f t="shared" si="12"/>
        <v>302159240</v>
      </c>
      <c r="X22" s="4">
        <f t="shared" si="12"/>
        <v>321775074</v>
      </c>
      <c r="Y22" s="4">
        <f t="shared" si="12"/>
        <v>384529604</v>
      </c>
      <c r="Z22" s="34">
        <f t="shared" ref="Z22:AD22" si="13">Z17-Z14</f>
        <v>111892373.10714287</v>
      </c>
      <c r="AA22" s="34">
        <f t="shared" si="13"/>
        <v>200900600.14285713</v>
      </c>
      <c r="AB22" s="34">
        <f t="shared" si="13"/>
        <v>206396212.60714287</v>
      </c>
      <c r="AC22" s="34">
        <f t="shared" si="13"/>
        <v>152615741.0714286</v>
      </c>
      <c r="AD22" s="34">
        <f t="shared" si="13"/>
        <v>220320675.75</v>
      </c>
      <c r="AE22" s="4">
        <f>AE17-AE14</f>
        <v>6222461</v>
      </c>
      <c r="AF22" s="4">
        <f t="shared" ref="AF22:AI22" si="14">AF17-AF14</f>
        <v>6509824</v>
      </c>
      <c r="AG22" s="4">
        <f t="shared" si="14"/>
        <v>6311910</v>
      </c>
      <c r="AH22" s="4">
        <f t="shared" si="14"/>
        <v>6568992</v>
      </c>
      <c r="AI22" s="30">
        <f t="shared" si="14"/>
        <v>17034450</v>
      </c>
      <c r="AN22" s="30"/>
      <c r="AO22" s="4">
        <f>AO17-AO14</f>
        <v>127169706.5</v>
      </c>
      <c r="AP22" s="4">
        <f t="shared" ref="AP22:AS22" si="15">AP17-AP14</f>
        <v>151562849</v>
      </c>
      <c r="AQ22" s="4">
        <f t="shared" si="15"/>
        <v>121095043</v>
      </c>
      <c r="AR22" s="4">
        <f t="shared" si="15"/>
        <v>141692282</v>
      </c>
      <c r="AS22" s="4">
        <f t="shared" si="15"/>
        <v>166283431</v>
      </c>
      <c r="AT22" s="4">
        <f>AT17-AT14</f>
        <v>392300236</v>
      </c>
      <c r="AU22" s="4">
        <f t="shared" ref="AU22:AX22" si="16">AU17-AU14</f>
        <v>421165271</v>
      </c>
      <c r="AV22" s="4">
        <f t="shared" si="16"/>
        <v>418595754</v>
      </c>
      <c r="AW22" s="4">
        <f t="shared" si="16"/>
        <v>451416196</v>
      </c>
      <c r="AX22" s="4">
        <f t="shared" si="16"/>
        <v>570706180</v>
      </c>
      <c r="AY22" s="4">
        <f>AY17-AY14</f>
        <v>104478189.94622999</v>
      </c>
      <c r="AZ22" s="4">
        <f t="shared" ref="AZ22:BC22" si="17">AZ17-AZ14</f>
        <v>100611626.203962</v>
      </c>
      <c r="BA22" s="4">
        <f t="shared" si="17"/>
        <v>82298395.666296005</v>
      </c>
      <c r="BB22" s="4">
        <f t="shared" si="17"/>
        <v>78308744.260785013</v>
      </c>
      <c r="BC22" s="4">
        <f t="shared" si="17"/>
        <v>104368776.31445399</v>
      </c>
    </row>
    <row r="23" spans="2:55" s="87" customFormat="1" x14ac:dyDescent="0.2">
      <c r="B23" s="87" t="s">
        <v>36</v>
      </c>
      <c r="C23" s="88">
        <f>C7/C5</f>
        <v>0.24686038216905748</v>
      </c>
      <c r="D23" s="88">
        <f t="shared" ref="D23:G23" si="18">D7/D5</f>
        <v>0.16501933840092178</v>
      </c>
      <c r="E23" s="88">
        <f t="shared" si="18"/>
        <v>0.15746316305176417</v>
      </c>
      <c r="F23" s="88">
        <f t="shared" si="18"/>
        <v>0.17862618030189864</v>
      </c>
      <c r="G23" s="106">
        <f t="shared" si="18"/>
        <v>0.18989286190095161</v>
      </c>
      <c r="H23" s="88">
        <f t="shared" ref="H23:M23" si="19">H7/H5</f>
        <v>0.27540806903631376</v>
      </c>
      <c r="I23" s="88">
        <f t="shared" si="19"/>
        <v>0.19634265152142619</v>
      </c>
      <c r="J23" s="88">
        <f t="shared" si="19"/>
        <v>0.20952284970692497</v>
      </c>
      <c r="K23" s="88">
        <f t="shared" si="19"/>
        <v>0.15614396536912009</v>
      </c>
      <c r="L23" s="106">
        <f t="shared" si="19"/>
        <v>0.13541724826965892</v>
      </c>
      <c r="M23" s="88">
        <f t="shared" si="19"/>
        <v>7.4985827616424389E-2</v>
      </c>
      <c r="N23" s="88">
        <f t="shared" ref="N23:P23" si="20">N7/N5</f>
        <v>5.7433024644965351E-2</v>
      </c>
      <c r="O23" s="88">
        <f t="shared" si="20"/>
        <v>5.7237247733247419E-2</v>
      </c>
      <c r="P23" s="106">
        <f t="shared" si="20"/>
        <v>6.3696224008479019E-2</v>
      </c>
      <c r="Q23" s="88"/>
      <c r="R23" s="88"/>
      <c r="S23" s="88"/>
      <c r="T23" s="88"/>
      <c r="U23" s="88"/>
      <c r="V23" s="88">
        <f t="shared" ref="V23:Y23" si="21">V7/V5</f>
        <v>0.23359954204358105</v>
      </c>
      <c r="W23" s="88">
        <f t="shared" si="21"/>
        <v>0.28458384081632654</v>
      </c>
      <c r="X23" s="88">
        <f t="shared" si="21"/>
        <v>0.20034278775510203</v>
      </c>
      <c r="Y23" s="88">
        <f t="shared" si="21"/>
        <v>0.12953530111393699</v>
      </c>
      <c r="Z23" s="94">
        <f t="shared" ref="Z23:AE23" si="22">Z7/Z5</f>
        <v>0.27542824028542751</v>
      </c>
      <c r="AA23" s="94">
        <f t="shared" si="22"/>
        <v>0.19671161987140065</v>
      </c>
      <c r="AB23" s="94">
        <f t="shared" si="22"/>
        <v>0.18723270283554952</v>
      </c>
      <c r="AC23" s="94">
        <f t="shared" si="22"/>
        <v>0.23608461396441466</v>
      </c>
      <c r="AD23" s="94">
        <f t="shared" si="22"/>
        <v>0.25584981289620234</v>
      </c>
      <c r="AE23" s="88">
        <f t="shared" si="22"/>
        <v>0.13983554299789902</v>
      </c>
      <c r="AF23" s="88">
        <f t="shared" ref="AF23:AO23" si="23">AF7/AF5</f>
        <v>0.10370274803251193</v>
      </c>
      <c r="AG23" s="88">
        <f t="shared" si="23"/>
        <v>0.13800541865565732</v>
      </c>
      <c r="AH23" s="88">
        <f t="shared" si="23"/>
        <v>0.10140743129918721</v>
      </c>
      <c r="AI23" s="106">
        <f t="shared" si="23"/>
        <v>0.10099696813314411</v>
      </c>
      <c r="AJ23" s="88"/>
      <c r="AK23" s="88"/>
      <c r="AL23" s="88"/>
      <c r="AM23" s="88"/>
      <c r="AN23" s="106"/>
      <c r="AO23" s="88">
        <f t="shared" si="23"/>
        <v>0.10374150700286554</v>
      </c>
      <c r="AP23" s="88">
        <f t="shared" ref="AP23:AY23" si="24">AP7/AP5</f>
        <v>7.0664139985536251E-2</v>
      </c>
      <c r="AQ23" s="88">
        <f t="shared" si="24"/>
        <v>7.1945400674662596E-2</v>
      </c>
      <c r="AR23" s="88">
        <f t="shared" si="24"/>
        <v>8.1502914217324682E-2</v>
      </c>
      <c r="AS23" s="88">
        <f t="shared" si="24"/>
        <v>9.0917651903517055E-2</v>
      </c>
      <c r="AT23" s="88">
        <f t="shared" si="24"/>
        <v>0.1338603965291196</v>
      </c>
      <c r="AU23" s="88">
        <f t="shared" si="24"/>
        <v>4.3033316963679506E-2</v>
      </c>
      <c r="AV23" s="88">
        <f t="shared" si="24"/>
        <v>0.12979004030961783</v>
      </c>
      <c r="AW23" s="88">
        <f t="shared" si="24"/>
        <v>0.12697718057113278</v>
      </c>
      <c r="AX23" s="88">
        <f t="shared" si="24"/>
        <v>0.13505825663683879</v>
      </c>
      <c r="AY23" s="88">
        <f t="shared" si="24"/>
        <v>0.23531536341417431</v>
      </c>
      <c r="AZ23" s="88">
        <f t="shared" ref="AZ23:BC23" si="25">AZ7/AZ5</f>
        <v>0.1093702281537212</v>
      </c>
      <c r="BA23" s="88">
        <f t="shared" si="25"/>
        <v>0.14019119158114574</v>
      </c>
      <c r="BB23" s="88">
        <f t="shared" si="25"/>
        <v>0.21236745501285348</v>
      </c>
      <c r="BC23" s="88">
        <f t="shared" si="25"/>
        <v>0.22749604795947556</v>
      </c>
    </row>
    <row r="24" spans="2:55" s="87" customFormat="1" x14ac:dyDescent="0.2">
      <c r="B24" s="87" t="s">
        <v>39</v>
      </c>
      <c r="C24" s="88">
        <f>C13/C17</f>
        <v>0.74380532682823475</v>
      </c>
      <c r="D24" s="88">
        <f t="shared" ref="D24:G24" si="26">D13/D17</f>
        <v>0.86652818469725967</v>
      </c>
      <c r="E24" s="88">
        <f t="shared" si="26"/>
        <v>0.88154545691563102</v>
      </c>
      <c r="F24" s="88">
        <f t="shared" si="26"/>
        <v>0.81494569456234345</v>
      </c>
      <c r="G24" s="106">
        <f t="shared" si="26"/>
        <v>0.80023496834412067</v>
      </c>
      <c r="H24" s="88"/>
      <c r="I24" s="88"/>
      <c r="J24" s="88"/>
      <c r="K24" s="88"/>
      <c r="L24" s="106"/>
      <c r="M24" s="88">
        <f t="shared" ref="M24" si="27">M13/M17</f>
        <v>0</v>
      </c>
      <c r="N24" s="88">
        <f t="shared" ref="N24:P24" si="28">N13/N17</f>
        <v>0</v>
      </c>
      <c r="O24" s="88">
        <f t="shared" si="28"/>
        <v>0</v>
      </c>
      <c r="P24" s="106">
        <f t="shared" si="28"/>
        <v>0</v>
      </c>
      <c r="Q24" s="88"/>
      <c r="R24" s="88"/>
      <c r="S24" s="88"/>
      <c r="T24" s="88"/>
      <c r="U24" s="88"/>
      <c r="V24" s="88">
        <f t="shared" ref="V24:Y24" si="29">V13/V17</f>
        <v>0</v>
      </c>
      <c r="W24" s="88">
        <f t="shared" si="29"/>
        <v>0</v>
      </c>
      <c r="X24" s="88">
        <f t="shared" si="29"/>
        <v>0</v>
      </c>
      <c r="Y24" s="88">
        <f t="shared" si="29"/>
        <v>0</v>
      </c>
      <c r="Z24" s="94">
        <f t="shared" ref="Z24:AE24" si="30">Z13/Z17</f>
        <v>0</v>
      </c>
      <c r="AA24" s="94">
        <f t="shared" si="30"/>
        <v>0</v>
      </c>
      <c r="AB24" s="94">
        <f t="shared" si="30"/>
        <v>0</v>
      </c>
      <c r="AC24" s="94">
        <f t="shared" si="30"/>
        <v>0</v>
      </c>
      <c r="AD24" s="94">
        <f t="shared" si="30"/>
        <v>0</v>
      </c>
      <c r="AE24" s="88">
        <f t="shared" si="30"/>
        <v>0</v>
      </c>
      <c r="AF24" s="88">
        <f t="shared" ref="AF24:AO24" si="31">AF13/AF17</f>
        <v>0</v>
      </c>
      <c r="AG24" s="88">
        <f t="shared" si="31"/>
        <v>0</v>
      </c>
      <c r="AH24" s="88">
        <f t="shared" si="31"/>
        <v>0</v>
      </c>
      <c r="AI24" s="106">
        <f t="shared" si="31"/>
        <v>0</v>
      </c>
      <c r="AJ24" s="88"/>
      <c r="AK24" s="88"/>
      <c r="AL24" s="88"/>
      <c r="AM24" s="88"/>
      <c r="AN24" s="106"/>
      <c r="AO24" s="88">
        <f t="shared" si="31"/>
        <v>0</v>
      </c>
      <c r="AP24" s="88">
        <f t="shared" ref="AP24:AY24" si="32">AP13/AP17</f>
        <v>0</v>
      </c>
      <c r="AQ24" s="88">
        <f t="shared" si="32"/>
        <v>0</v>
      </c>
      <c r="AR24" s="88">
        <f t="shared" si="32"/>
        <v>0</v>
      </c>
      <c r="AS24" s="88">
        <f t="shared" si="32"/>
        <v>0</v>
      </c>
      <c r="AT24" s="88">
        <f t="shared" si="32"/>
        <v>0</v>
      </c>
      <c r="AU24" s="88">
        <f t="shared" si="32"/>
        <v>0</v>
      </c>
      <c r="AV24" s="88">
        <f t="shared" si="32"/>
        <v>0</v>
      </c>
      <c r="AW24" s="88">
        <f t="shared" si="32"/>
        <v>0</v>
      </c>
      <c r="AX24" s="88">
        <f t="shared" si="32"/>
        <v>0</v>
      </c>
      <c r="AY24" s="88">
        <f t="shared" si="32"/>
        <v>0</v>
      </c>
      <c r="AZ24" s="88">
        <f t="shared" ref="AZ24:BC24" si="33">AZ13/AZ17</f>
        <v>0</v>
      </c>
      <c r="BA24" s="88">
        <f t="shared" si="33"/>
        <v>0</v>
      </c>
      <c r="BB24" s="88">
        <f t="shared" si="33"/>
        <v>0</v>
      </c>
      <c r="BC24" s="88">
        <f t="shared" si="33"/>
        <v>0</v>
      </c>
    </row>
    <row r="25" spans="2:55" s="87" customFormat="1" x14ac:dyDescent="0.2">
      <c r="B25" s="87" t="s">
        <v>48</v>
      </c>
      <c r="C25" s="88">
        <f>C14/C17</f>
        <v>0.25508820200938798</v>
      </c>
      <c r="D25" s="88">
        <f t="shared" ref="D25:G25" si="34">D14/D17</f>
        <v>0.12772001344782249</v>
      </c>
      <c r="E25" s="88">
        <f t="shared" si="34"/>
        <v>0.11615445241530056</v>
      </c>
      <c r="F25" s="88">
        <f t="shared" si="34"/>
        <v>0.18327610591952354</v>
      </c>
      <c r="G25" s="106">
        <f t="shared" si="34"/>
        <v>0.19829895919003157</v>
      </c>
      <c r="H25" s="88"/>
      <c r="I25" s="88"/>
      <c r="J25" s="88"/>
      <c r="K25" s="88"/>
      <c r="L25" s="106"/>
      <c r="M25" s="88">
        <f t="shared" ref="M25" si="35">M14/M17</f>
        <v>0.29517378454704307</v>
      </c>
      <c r="N25" s="88">
        <f t="shared" ref="N25:P25" si="36">N14/N17</f>
        <v>0.2977372558513327</v>
      </c>
      <c r="O25" s="88">
        <f t="shared" si="36"/>
        <v>0.17081939314642405</v>
      </c>
      <c r="P25" s="106">
        <f t="shared" si="36"/>
        <v>0.10019908198553321</v>
      </c>
      <c r="Q25" s="88"/>
      <c r="R25" s="88"/>
      <c r="S25" s="88"/>
      <c r="T25" s="88"/>
      <c r="U25" s="88"/>
      <c r="V25" s="88">
        <f t="shared" ref="V25:Y25" si="37">V14/V17</f>
        <v>0.13487805675061357</v>
      </c>
      <c r="W25" s="88">
        <f t="shared" si="37"/>
        <v>0.16084361601038202</v>
      </c>
      <c r="X25" s="88">
        <f t="shared" si="37"/>
        <v>0.17089555400788856</v>
      </c>
      <c r="Y25" s="88">
        <f t="shared" si="37"/>
        <v>0.15772194657950481</v>
      </c>
      <c r="Z25" s="94">
        <f t="shared" ref="Z25:AE25" si="38">Z14/Z17</f>
        <v>0.42548217380908077</v>
      </c>
      <c r="AA25" s="94">
        <f t="shared" si="38"/>
        <v>0.22785892902993912</v>
      </c>
      <c r="AB25" s="94">
        <f t="shared" si="38"/>
        <v>0.22731516541820732</v>
      </c>
      <c r="AC25" s="94">
        <f t="shared" si="38"/>
        <v>0.34626605931325999</v>
      </c>
      <c r="AD25" s="94">
        <f t="shared" si="38"/>
        <v>0.27196990853211572</v>
      </c>
      <c r="AE25" s="88">
        <f t="shared" si="38"/>
        <v>3.3452312513814843E-2</v>
      </c>
      <c r="AF25" s="88">
        <f t="shared" ref="AF25:AO25" si="39">AF14/AF17</f>
        <v>2.2440771598899158E-2</v>
      </c>
      <c r="AG25" s="88">
        <f t="shared" si="39"/>
        <v>2.1409302325581397E-2</v>
      </c>
      <c r="AH25" s="88">
        <f t="shared" si="39"/>
        <v>2.7327121585146295E-2</v>
      </c>
      <c r="AI25" s="106">
        <f t="shared" si="39"/>
        <v>4.5020911269515122E-2</v>
      </c>
      <c r="AJ25" s="88"/>
      <c r="AK25" s="88"/>
      <c r="AL25" s="88"/>
      <c r="AM25" s="88"/>
      <c r="AN25" s="106"/>
      <c r="AO25" s="88">
        <f t="shared" si="39"/>
        <v>0.19775918046466867</v>
      </c>
      <c r="AP25" s="88">
        <f t="shared" ref="AP25:AY25" si="40">AP14/AP17</f>
        <v>0.13214759377068902</v>
      </c>
      <c r="AQ25" s="88">
        <f t="shared" si="40"/>
        <v>0.13903383854255655</v>
      </c>
      <c r="AR25" s="88">
        <f t="shared" si="40"/>
        <v>0.14301242339802711</v>
      </c>
      <c r="AS25" s="88">
        <f t="shared" si="40"/>
        <v>0.13802240781359826</v>
      </c>
      <c r="AT25" s="88">
        <f t="shared" si="40"/>
        <v>0.12756488015093764</v>
      </c>
      <c r="AU25" s="88">
        <f t="shared" si="40"/>
        <v>0.10350318307624384</v>
      </c>
      <c r="AV25" s="88">
        <f t="shared" si="40"/>
        <v>0.10527791566028114</v>
      </c>
      <c r="AW25" s="88">
        <f t="shared" si="40"/>
        <v>0.10862251641775383</v>
      </c>
      <c r="AX25" s="88">
        <f t="shared" si="40"/>
        <v>8.524513413824425E-2</v>
      </c>
      <c r="AY25" s="88">
        <f t="shared" si="40"/>
        <v>0.37128819383556994</v>
      </c>
      <c r="AZ25" s="88">
        <f t="shared" ref="AZ25:BC25" si="41">AZ14/AZ17</f>
        <v>0.31655108500354184</v>
      </c>
      <c r="BA25" s="88">
        <f t="shared" si="41"/>
        <v>0.37651972775219283</v>
      </c>
      <c r="BB25" s="88">
        <f t="shared" si="41"/>
        <v>0.45546604510516608</v>
      </c>
      <c r="BC25" s="88">
        <f t="shared" si="41"/>
        <v>0.41454258860029097</v>
      </c>
    </row>
    <row r="26" spans="2:55" s="87" customFormat="1" x14ac:dyDescent="0.2">
      <c r="B26" s="87" t="s">
        <v>47</v>
      </c>
      <c r="C26" s="88">
        <f>C22/C17</f>
        <v>0.74491179799061191</v>
      </c>
      <c r="D26" s="88">
        <f t="shared" ref="D26:G26" si="42">D22/D17</f>
        <v>0.87227998655217753</v>
      </c>
      <c r="E26" s="88">
        <f t="shared" si="42"/>
        <v>0.88384554758469946</v>
      </c>
      <c r="F26" s="88">
        <f t="shared" si="42"/>
        <v>0.81672389408047641</v>
      </c>
      <c r="G26" s="106">
        <f t="shared" si="42"/>
        <v>0.8017010408099684</v>
      </c>
      <c r="H26" s="88"/>
      <c r="I26" s="88"/>
      <c r="J26" s="88"/>
      <c r="K26" s="88"/>
      <c r="L26" s="106"/>
      <c r="M26" s="88">
        <f t="shared" ref="M26" si="43">M22/M17</f>
        <v>0.70482621545295698</v>
      </c>
      <c r="N26" s="88">
        <f t="shared" ref="N26:P26" si="44">N22/N17</f>
        <v>0.7022627441486673</v>
      </c>
      <c r="O26" s="88">
        <f t="shared" si="44"/>
        <v>0.82918060685357597</v>
      </c>
      <c r="P26" s="106">
        <f t="shared" si="44"/>
        <v>0.89980091801446682</v>
      </c>
      <c r="Q26" s="88"/>
      <c r="R26" s="88"/>
      <c r="S26" s="88"/>
      <c r="T26" s="88"/>
      <c r="U26" s="88"/>
      <c r="V26" s="88">
        <f t="shared" ref="V26:Y26" si="45">V22/V17</f>
        <v>0.8651219432493864</v>
      </c>
      <c r="W26" s="88">
        <f t="shared" si="45"/>
        <v>0.839156383989618</v>
      </c>
      <c r="X26" s="88">
        <f t="shared" si="45"/>
        <v>0.82910444599211142</v>
      </c>
      <c r="Y26" s="88">
        <f t="shared" si="45"/>
        <v>0.84227805342049522</v>
      </c>
      <c r="Z26" s="94">
        <f t="shared" ref="Z26:AE26" si="46">Z22/Z17</f>
        <v>0.57451782619091929</v>
      </c>
      <c r="AA26" s="94">
        <f t="shared" si="46"/>
        <v>0.77214107097006079</v>
      </c>
      <c r="AB26" s="94">
        <f t="shared" si="46"/>
        <v>0.77268483458179271</v>
      </c>
      <c r="AC26" s="94">
        <f t="shared" si="46"/>
        <v>0.65373394068674007</v>
      </c>
      <c r="AD26" s="94">
        <f t="shared" si="46"/>
        <v>0.72803009146788422</v>
      </c>
      <c r="AE26" s="88">
        <f t="shared" si="46"/>
        <v>0.96654768748618514</v>
      </c>
      <c r="AF26" s="88">
        <f t="shared" ref="AF26:AO26" si="47">AF22/AF17</f>
        <v>0.97755922840110088</v>
      </c>
      <c r="AG26" s="88">
        <f t="shared" si="47"/>
        <v>0.97859069767441864</v>
      </c>
      <c r="AH26" s="88">
        <f t="shared" si="47"/>
        <v>0.97267287841485373</v>
      </c>
      <c r="AI26" s="106">
        <f t="shared" si="47"/>
        <v>0.95497908873048487</v>
      </c>
      <c r="AJ26" s="88"/>
      <c r="AK26" s="88"/>
      <c r="AL26" s="88"/>
      <c r="AM26" s="88"/>
      <c r="AN26" s="106"/>
      <c r="AO26" s="88">
        <f t="shared" si="47"/>
        <v>0.80224081953533133</v>
      </c>
      <c r="AP26" s="88">
        <f t="shared" ref="AP26:AY26" si="48">AP22/AP17</f>
        <v>0.86785240622931104</v>
      </c>
      <c r="AQ26" s="88">
        <f t="shared" si="48"/>
        <v>0.86096616145744342</v>
      </c>
      <c r="AR26" s="88">
        <f t="shared" si="48"/>
        <v>0.85698757660197289</v>
      </c>
      <c r="AS26" s="88">
        <f t="shared" si="48"/>
        <v>0.8619775921864018</v>
      </c>
      <c r="AT26" s="88">
        <f t="shared" si="48"/>
        <v>0.87243511984906241</v>
      </c>
      <c r="AU26" s="88">
        <f t="shared" si="48"/>
        <v>0.89649681692375616</v>
      </c>
      <c r="AV26" s="88">
        <f t="shared" si="48"/>
        <v>0.89472208433971889</v>
      </c>
      <c r="AW26" s="88">
        <f t="shared" si="48"/>
        <v>0.89137748358224622</v>
      </c>
      <c r="AX26" s="88">
        <f t="shared" si="48"/>
        <v>0.91475486586175569</v>
      </c>
      <c r="AY26" s="88">
        <f t="shared" si="48"/>
        <v>0.62871180616443012</v>
      </c>
      <c r="AZ26" s="88">
        <f t="shared" ref="AZ26:BC26" si="49">AZ22/AZ17</f>
        <v>0.68344891499645821</v>
      </c>
      <c r="BA26" s="88">
        <f t="shared" si="49"/>
        <v>0.62348027224780722</v>
      </c>
      <c r="BB26" s="88">
        <f t="shared" si="49"/>
        <v>0.54453395489483392</v>
      </c>
      <c r="BC26" s="88">
        <f t="shared" si="49"/>
        <v>0.58545741139970897</v>
      </c>
    </row>
    <row r="27" spans="2:55" s="87" customFormat="1" x14ac:dyDescent="0.2">
      <c r="B27" s="87" t="s">
        <v>41</v>
      </c>
      <c r="C27" s="87">
        <f>C15/C5</f>
        <v>2.0769424465972999</v>
      </c>
      <c r="D27" s="87">
        <f t="shared" ref="D27:G27" si="50">D15/D5</f>
        <v>2.4031383467351786</v>
      </c>
      <c r="E27" s="87">
        <f t="shared" si="50"/>
        <v>2.4558001224464125</v>
      </c>
      <c r="F27" s="87">
        <f t="shared" si="50"/>
        <v>1.8720200415846964</v>
      </c>
      <c r="G27" s="107">
        <f t="shared" si="50"/>
        <v>2.0772444359046527</v>
      </c>
      <c r="H27" s="87">
        <f t="shared" ref="H27:M27" si="51">H15/H5</f>
        <v>0</v>
      </c>
      <c r="I27" s="87">
        <f t="shared" si="51"/>
        <v>0</v>
      </c>
      <c r="J27" s="87">
        <f t="shared" si="51"/>
        <v>0</v>
      </c>
      <c r="K27" s="87">
        <f t="shared" si="51"/>
        <v>0</v>
      </c>
      <c r="L27" s="107">
        <f t="shared" si="51"/>
        <v>0</v>
      </c>
      <c r="M27" s="87">
        <f t="shared" si="51"/>
        <v>2.2699402069819814</v>
      </c>
      <c r="N27" s="87">
        <f t="shared" ref="N27:P27" si="52">N15/N5</f>
        <v>1.4751283171230649</v>
      </c>
      <c r="O27" s="87">
        <f t="shared" si="52"/>
        <v>2.0419260039027938</v>
      </c>
      <c r="P27" s="107">
        <f t="shared" si="52"/>
        <v>2.2783613978656803</v>
      </c>
      <c r="V27" s="87">
        <f t="shared" ref="V27:Y27" si="53">V15/V5</f>
        <v>1.6102795764088691</v>
      </c>
      <c r="W27" s="87">
        <f t="shared" si="53"/>
        <v>1.4696939020408164</v>
      </c>
      <c r="X27" s="87">
        <f t="shared" si="53"/>
        <v>1.5840798530612246</v>
      </c>
      <c r="Y27" s="87">
        <f t="shared" si="53"/>
        <v>1.0882240546072122</v>
      </c>
      <c r="Z27" s="95">
        <f t="shared" ref="Z27:AE27" si="54">Z15/Z5</f>
        <v>1.0677270745901106</v>
      </c>
      <c r="AA27" s="95">
        <f t="shared" si="54"/>
        <v>1.5339480004697472</v>
      </c>
      <c r="AB27" s="95">
        <f t="shared" si="54"/>
        <v>1.4421863891941147</v>
      </c>
      <c r="AC27" s="95">
        <f t="shared" si="54"/>
        <v>1.2922988027896372</v>
      </c>
      <c r="AD27" s="95">
        <f t="shared" si="54"/>
        <v>1.6955719006582</v>
      </c>
      <c r="AE27" s="87">
        <f t="shared" si="54"/>
        <v>5.8300921901036009</v>
      </c>
      <c r="AF27" s="87">
        <f t="shared" ref="AF27:AO27" si="55">AF15/AF5</f>
        <v>8.5914888401496583</v>
      </c>
      <c r="AG27" s="87">
        <f t="shared" si="55"/>
        <v>8.321506902335182</v>
      </c>
      <c r="AH27" s="87">
        <f t="shared" si="55"/>
        <v>8.7131299187201652</v>
      </c>
      <c r="AI27" s="107">
        <f t="shared" si="55"/>
        <v>23.013173784027867</v>
      </c>
      <c r="AN27" s="107"/>
      <c r="AO27" s="87">
        <f t="shared" si="55"/>
        <v>1.9555244485588439</v>
      </c>
      <c r="AP27" s="87">
        <f t="shared" ref="AP27:AY27" si="56">AP15/AP5</f>
        <v>2.1544242328822691</v>
      </c>
      <c r="AQ27" s="87">
        <f t="shared" si="56"/>
        <v>1.9939809151147965</v>
      </c>
      <c r="AR27" s="87">
        <f t="shared" si="56"/>
        <v>2.4095424221796038</v>
      </c>
      <c r="AS27" s="87">
        <f t="shared" si="56"/>
        <v>2.9779687142353071</v>
      </c>
      <c r="AT27" s="87">
        <f t="shared" si="56"/>
        <v>2.6695809206233254</v>
      </c>
      <c r="AU27" s="87">
        <f t="shared" si="56"/>
        <v>0.96897879957088884</v>
      </c>
      <c r="AV27" s="87">
        <f t="shared" si="56"/>
        <v>3.1412578969546621</v>
      </c>
      <c r="AW27" s="87">
        <f t="shared" si="56"/>
        <v>3.640938350156731</v>
      </c>
      <c r="AX27" s="87">
        <f t="shared" si="56"/>
        <v>4.2918466918082165</v>
      </c>
      <c r="AY27" s="87">
        <f t="shared" si="56"/>
        <v>1.5661999137725833</v>
      </c>
      <c r="AZ27" s="87">
        <f t="shared" ref="AZ27:BC27" si="57">AZ15/AZ5</f>
        <v>1.2400198600111465</v>
      </c>
      <c r="BA27" s="87">
        <f t="shared" si="57"/>
        <v>1.1118729976465069</v>
      </c>
      <c r="BB27" s="87">
        <f t="shared" si="57"/>
        <v>1.2322942952937876</v>
      </c>
      <c r="BC27" s="87">
        <f t="shared" si="57"/>
        <v>1.5219079397437618</v>
      </c>
    </row>
    <row r="28" spans="2:55" s="87" customFormat="1" x14ac:dyDescent="0.2">
      <c r="B28" s="87" t="s">
        <v>49</v>
      </c>
      <c r="C28" s="87">
        <f>C14/C5</f>
        <v>0.52980351437948459</v>
      </c>
      <c r="D28" s="87">
        <f t="shared" ref="D28:G28" si="58">D14/D5</f>
        <v>0.30692886196199498</v>
      </c>
      <c r="E28" s="87">
        <f t="shared" si="58"/>
        <v>0.28525211846419113</v>
      </c>
      <c r="F28" s="87">
        <f t="shared" si="58"/>
        <v>0.34309654342494766</v>
      </c>
      <c r="G28" s="107">
        <f t="shared" si="58"/>
        <v>0.41191540962317685</v>
      </c>
      <c r="H28" s="87">
        <f t="shared" ref="H28:M28" si="59">H14/H5</f>
        <v>0</v>
      </c>
      <c r="I28" s="87">
        <f t="shared" si="59"/>
        <v>0</v>
      </c>
      <c r="J28" s="87">
        <f t="shared" si="59"/>
        <v>0</v>
      </c>
      <c r="K28" s="87">
        <f t="shared" si="59"/>
        <v>0</v>
      </c>
      <c r="L28" s="107">
        <f t="shared" si="59"/>
        <v>0</v>
      </c>
      <c r="M28" s="87">
        <f t="shared" si="59"/>
        <v>0.70829374019494551</v>
      </c>
      <c r="N28" s="87">
        <f t="shared" ref="N28:P28" si="60">N14/N5</f>
        <v>0.46786896980983594</v>
      </c>
      <c r="O28" s="87">
        <f t="shared" si="60"/>
        <v>0.36520284258745134</v>
      </c>
      <c r="P28" s="107">
        <f t="shared" si="60"/>
        <v>0.23840435247110256</v>
      </c>
      <c r="V28" s="87">
        <f t="shared" ref="V28:Y28" si="61">V14/V5</f>
        <v>0.21719138009122943</v>
      </c>
      <c r="W28" s="87">
        <f t="shared" si="61"/>
        <v>0.23639088163265307</v>
      </c>
      <c r="X28" s="87">
        <f t="shared" si="61"/>
        <v>0.27071220408163266</v>
      </c>
      <c r="Y28" s="87">
        <f t="shared" si="61"/>
        <v>0.17163681620729088</v>
      </c>
      <c r="Z28" s="95">
        <f t="shared" ref="Z28:AE28" si="62">Z14/Z5</f>
        <v>0.46563127891113953</v>
      </c>
      <c r="AA28" s="95">
        <f t="shared" si="62"/>
        <v>0.35847365891178185</v>
      </c>
      <c r="AB28" s="95">
        <f t="shared" si="62"/>
        <v>0.34415772319541638</v>
      </c>
      <c r="AC28" s="95">
        <f t="shared" si="62"/>
        <v>0.46399153986164215</v>
      </c>
      <c r="AD28" s="95">
        <f t="shared" si="62"/>
        <v>0.47965715288557637</v>
      </c>
      <c r="AE28" s="87">
        <f t="shared" si="62"/>
        <v>0.19503006592769687</v>
      </c>
      <c r="AF28" s="87">
        <f t="shared" ref="AF28:AO28" si="63">AF14/AF5</f>
        <v>0.1927996387562895</v>
      </c>
      <c r="AG28" s="87">
        <f t="shared" si="63"/>
        <v>0.17815765707650627</v>
      </c>
      <c r="AH28" s="87">
        <f t="shared" si="63"/>
        <v>0.2381047606760418</v>
      </c>
      <c r="AI28" s="107">
        <f t="shared" si="63"/>
        <v>1.0360740549606502</v>
      </c>
      <c r="AN28" s="107"/>
      <c r="AO28" s="87">
        <f t="shared" si="63"/>
        <v>0.38672291232562012</v>
      </c>
      <c r="AP28" s="87">
        <f t="shared" ref="AP28:AY28" si="64">AP14/AP5</f>
        <v>0.28470197833665445</v>
      </c>
      <c r="AQ28" s="87">
        <f t="shared" si="64"/>
        <v>0.27723082060900978</v>
      </c>
      <c r="AR28" s="87">
        <f t="shared" si="64"/>
        <v>0.34459450107625733</v>
      </c>
      <c r="AS28" s="87">
        <f t="shared" si="64"/>
        <v>0.4110264123323224</v>
      </c>
      <c r="AT28" s="87">
        <f t="shared" si="64"/>
        <v>0.34054477019254425</v>
      </c>
      <c r="AU28" s="87">
        <f t="shared" si="64"/>
        <v>0.10029239008898469</v>
      </c>
      <c r="AV28" s="87">
        <f t="shared" si="64"/>
        <v>0.33070508394278497</v>
      </c>
      <c r="AW28" s="87">
        <f t="shared" si="64"/>
        <v>0.39548788571592902</v>
      </c>
      <c r="AX28" s="87">
        <f t="shared" si="64"/>
        <v>0.36585904694397126</v>
      </c>
      <c r="AY28" s="87">
        <f t="shared" si="64"/>
        <v>0.58151153717004778</v>
      </c>
      <c r="AZ28" s="87">
        <f t="shared" ref="AZ28:BC28" si="65">AZ14/AZ5</f>
        <v>0.39252963211246844</v>
      </c>
      <c r="BA28" s="87">
        <f t="shared" si="65"/>
        <v>0.41864211836887733</v>
      </c>
      <c r="BB28" s="87">
        <f t="shared" si="65"/>
        <v>0.56126820908311914</v>
      </c>
      <c r="BC28" s="87">
        <f t="shared" si="65"/>
        <v>0.63089565695271477</v>
      </c>
    </row>
    <row r="29" spans="2:55" s="87" customFormat="1" x14ac:dyDescent="0.2">
      <c r="B29" s="87" t="s">
        <v>42</v>
      </c>
      <c r="C29" s="87">
        <f>C17/C6</f>
        <v>49.626391529721694</v>
      </c>
      <c r="D29" s="87">
        <f t="shared" ref="D29:G29" si="66">D17/D6</f>
        <v>86.734858366734372</v>
      </c>
      <c r="E29" s="87">
        <f t="shared" si="66"/>
        <v>90.651824557407636</v>
      </c>
      <c r="F29" s="87">
        <f t="shared" si="66"/>
        <v>61.903156752454905</v>
      </c>
      <c r="G29" s="107">
        <f t="shared" si="66"/>
        <v>64.300699919347494</v>
      </c>
      <c r="H29" s="87">
        <f t="shared" ref="H29:M29" si="67">H17/H6</f>
        <v>0</v>
      </c>
      <c r="I29" s="87">
        <f t="shared" si="67"/>
        <v>0</v>
      </c>
      <c r="J29" s="87">
        <f t="shared" si="67"/>
        <v>0</v>
      </c>
      <c r="K29" s="87">
        <f t="shared" si="67"/>
        <v>0</v>
      </c>
      <c r="L29" s="107">
        <f t="shared" si="67"/>
        <v>0</v>
      </c>
      <c r="M29" s="87">
        <f t="shared" si="67"/>
        <v>97.446748582175331</v>
      </c>
      <c r="N29" s="87">
        <f t="shared" ref="N29:P29" si="68">N17/N6</f>
        <v>83.098613102725082</v>
      </c>
      <c r="O29" s="87">
        <f t="shared" si="68"/>
        <v>113.7005588464822</v>
      </c>
      <c r="P29" s="107">
        <f t="shared" si="68"/>
        <v>105.0879129005037</v>
      </c>
      <c r="V29" s="87">
        <f t="shared" ref="V29:Y29" si="69">V17/V6</f>
        <v>342.05102999143099</v>
      </c>
      <c r="W29" s="87">
        <f t="shared" si="69"/>
        <v>300.31276563803169</v>
      </c>
      <c r="X29" s="87">
        <f t="shared" si="69"/>
        <v>243.17015288220551</v>
      </c>
      <c r="Y29" s="87">
        <f t="shared" si="69"/>
        <v>259.10058399545971</v>
      </c>
      <c r="Z29" s="95">
        <f t="shared" ref="Z29:AE29" si="70">Z17/Z6</f>
        <v>288.9690004718255</v>
      </c>
      <c r="AA29" s="95">
        <f t="shared" si="70"/>
        <v>572.80759306959033</v>
      </c>
      <c r="AB29" s="95">
        <f t="shared" si="70"/>
        <v>592.68351660440601</v>
      </c>
      <c r="AC29" s="95">
        <f t="shared" si="70"/>
        <v>413.17541856925419</v>
      </c>
      <c r="AD29" s="95">
        <f t="shared" si="70"/>
        <v>562.62799254107335</v>
      </c>
      <c r="AE29" s="87">
        <f t="shared" si="70"/>
        <v>112.17670325840739</v>
      </c>
      <c r="AF29" s="87">
        <f t="shared" ref="AF29:AO29" si="71">AF17/AF6</f>
        <v>173.98011808966453</v>
      </c>
      <c r="AG29" s="87">
        <f t="shared" si="71"/>
        <v>126.62700983567937</v>
      </c>
      <c r="AH29" s="87">
        <f t="shared" si="71"/>
        <v>180.43621256245157</v>
      </c>
      <c r="AI29" s="107">
        <f t="shared" si="71"/>
        <v>478.5060961706123</v>
      </c>
      <c r="AN29" s="107"/>
      <c r="AO29" s="87">
        <f t="shared" si="71"/>
        <v>337.19224355047305</v>
      </c>
      <c r="AP29" s="87">
        <f t="shared" ref="AP29:AY29" si="72">AP17/AP6</f>
        <v>539.97623243791429</v>
      </c>
      <c r="AQ29" s="87">
        <f t="shared" si="72"/>
        <v>488.20762942779294</v>
      </c>
      <c r="AR29" s="87">
        <f t="shared" si="72"/>
        <v>446.7787232547708</v>
      </c>
      <c r="AS29" s="87">
        <f t="shared" si="72"/>
        <v>438.23683875745695</v>
      </c>
      <c r="AT29" s="87">
        <f t="shared" si="72"/>
        <v>897.43601948703827</v>
      </c>
      <c r="AU29" s="87">
        <f t="shared" si="72"/>
        <v>1013.2624918848851</v>
      </c>
      <c r="AV29" s="87">
        <f t="shared" si="72"/>
        <v>1089.1175087529798</v>
      </c>
      <c r="AW29" s="87">
        <f t="shared" si="72"/>
        <v>1290.3281126585439</v>
      </c>
      <c r="AX29" s="87">
        <f t="shared" si="72"/>
        <v>1429.9984757739744</v>
      </c>
      <c r="AY29" s="87">
        <f t="shared" si="72"/>
        <v>610.14168727504034</v>
      </c>
      <c r="AZ29" s="87">
        <f t="shared" ref="AZ29:BC29" si="73">AZ17/AZ6</f>
        <v>764.17598644090299</v>
      </c>
      <c r="BA29" s="87">
        <f t="shared" si="73"/>
        <v>645.53206018337244</v>
      </c>
      <c r="BB29" s="87">
        <f t="shared" si="73"/>
        <v>551.80532302739675</v>
      </c>
      <c r="BC29" s="87">
        <f t="shared" si="73"/>
        <v>642.58830851967571</v>
      </c>
    </row>
    <row r="30" spans="2:55" s="87" customFormat="1" x14ac:dyDescent="0.2">
      <c r="B30" s="87" t="s">
        <v>43</v>
      </c>
      <c r="C30" s="87">
        <f>C14/C6</f>
        <v>12.659106987530629</v>
      </c>
      <c r="D30" s="87">
        <f t="shared" ref="D30:G30" si="74">D14/D6</f>
        <v>11.077777276994293</v>
      </c>
      <c r="E30" s="87">
        <f t="shared" si="74"/>
        <v>10.52961304191358</v>
      </c>
      <c r="F30" s="87">
        <f t="shared" si="74"/>
        <v>11.345369513715793</v>
      </c>
      <c r="G30" s="107">
        <f t="shared" si="74"/>
        <v>12.750761869197154</v>
      </c>
      <c r="H30" s="87">
        <f t="shared" ref="H30:M30" si="75">H14/H6</f>
        <v>0</v>
      </c>
      <c r="I30" s="87">
        <f t="shared" si="75"/>
        <v>0</v>
      </c>
      <c r="J30" s="87">
        <f t="shared" si="75"/>
        <v>0</v>
      </c>
      <c r="K30" s="87">
        <f t="shared" si="75"/>
        <v>0</v>
      </c>
      <c r="L30" s="107">
        <f t="shared" si="75"/>
        <v>0</v>
      </c>
      <c r="M30" s="87">
        <f t="shared" si="75"/>
        <v>28.763725570804894</v>
      </c>
      <c r="N30" s="87">
        <f t="shared" ref="N30:P30" si="76">N14/N6</f>
        <v>24.741553030256966</v>
      </c>
      <c r="O30" s="87">
        <f t="shared" si="76"/>
        <v>19.422260462565365</v>
      </c>
      <c r="P30" s="107">
        <f t="shared" si="76"/>
        <v>10.529712400406142</v>
      </c>
      <c r="V30" s="87">
        <f t="shared" ref="V30:Y30" si="77">V14/V6</f>
        <v>46.135178234790061</v>
      </c>
      <c r="W30" s="87">
        <f t="shared" si="77"/>
        <v>48.303391159299416</v>
      </c>
      <c r="X30" s="87">
        <f t="shared" si="77"/>
        <v>41.556697994987466</v>
      </c>
      <c r="Y30" s="87">
        <f t="shared" si="77"/>
        <v>40.865848467650395</v>
      </c>
      <c r="Z30" s="95">
        <f t="shared" ref="Z30:AE30" si="78">Z14/Z6</f>
        <v>122.95115848418959</v>
      </c>
      <c r="AA30" s="95">
        <f t="shared" si="78"/>
        <v>130.51932469705403</v>
      </c>
      <c r="AB30" s="95">
        <f t="shared" si="78"/>
        <v>134.72595161757539</v>
      </c>
      <c r="AC30" s="95">
        <f t="shared" si="78"/>
        <v>143.06862399308241</v>
      </c>
      <c r="AD30" s="95">
        <f t="shared" si="78"/>
        <v>153.0178836690036</v>
      </c>
      <c r="AE30" s="87">
        <f t="shared" si="78"/>
        <v>3.7525701341697162</v>
      </c>
      <c r="AF30" s="87">
        <f t="shared" ref="AF30:AO30" si="79">AF14/AF6</f>
        <v>3.9042480927996657</v>
      </c>
      <c r="AG30" s="87">
        <f t="shared" si="79"/>
        <v>2.7109959361564284</v>
      </c>
      <c r="AH30" s="87">
        <f t="shared" si="79"/>
        <v>4.9308023190574151</v>
      </c>
      <c r="AI30" s="107">
        <f t="shared" si="79"/>
        <v>21.542780497619209</v>
      </c>
      <c r="AN30" s="107"/>
      <c r="AO30" s="87">
        <f t="shared" si="79"/>
        <v>66.68286174358451</v>
      </c>
      <c r="AP30" s="87">
        <f t="shared" ref="AP30:AY30" si="80">AP14/AP6</f>
        <v>71.35655981003265</v>
      </c>
      <c r="AQ30" s="87">
        <f t="shared" si="80"/>
        <v>67.87738072510804</v>
      </c>
      <c r="AR30" s="87">
        <f t="shared" si="80"/>
        <v>63.894907935341266</v>
      </c>
      <c r="AS30" s="87">
        <f t="shared" si="80"/>
        <v>60.486503677923821</v>
      </c>
      <c r="AT30" s="87">
        <f t="shared" si="80"/>
        <v>114.48131826899856</v>
      </c>
      <c r="AU30" s="87">
        <f t="shared" si="80"/>
        <v>104.87589320185229</v>
      </c>
      <c r="AV30" s="87">
        <f t="shared" si="80"/>
        <v>114.6600212306317</v>
      </c>
      <c r="AW30" s="87">
        <f t="shared" si="80"/>
        <v>140.158686601542</v>
      </c>
      <c r="AX30" s="87">
        <f t="shared" si="80"/>
        <v>121.90041188483727</v>
      </c>
      <c r="AY30" s="87">
        <f t="shared" si="80"/>
        <v>226.53840505213688</v>
      </c>
      <c r="AZ30" s="87">
        <f t="shared" ref="AZ30:BC30" si="81">AZ14/AZ6</f>
        <v>241.90073764151973</v>
      </c>
      <c r="BA30" s="87">
        <f t="shared" si="81"/>
        <v>243.05555555555554</v>
      </c>
      <c r="BB30" s="87">
        <f t="shared" si="81"/>
        <v>251.32858814726706</v>
      </c>
      <c r="BC30" s="87">
        <f t="shared" si="81"/>
        <v>266.38022081802876</v>
      </c>
    </row>
    <row r="31" spans="2:55" s="87" customFormat="1" x14ac:dyDescent="0.2">
      <c r="B31" s="87" t="s">
        <v>44</v>
      </c>
      <c r="C31" s="87">
        <f>C13/C6</f>
        <v>36.912374371070591</v>
      </c>
      <c r="D31" s="87">
        <f t="shared" ref="D31:G31" si="82">D13/D6</f>
        <v>75.158199370500256</v>
      </c>
      <c r="E31" s="87">
        <f t="shared" si="82"/>
        <v>79.913704099695536</v>
      </c>
      <c r="F31" s="87">
        <f t="shared" si="82"/>
        <v>50.447711075230984</v>
      </c>
      <c r="G31" s="107">
        <f t="shared" si="82"/>
        <v>51.455668564463849</v>
      </c>
      <c r="H31" s="87">
        <f t="shared" ref="H31:M31" si="83">H13/H6</f>
        <v>0</v>
      </c>
      <c r="I31" s="87">
        <f t="shared" si="83"/>
        <v>2910.1832449084372</v>
      </c>
      <c r="J31" s="87">
        <f t="shared" si="83"/>
        <v>2721.8416955292173</v>
      </c>
      <c r="K31" s="87">
        <f t="shared" si="83"/>
        <v>3142.3655305770776</v>
      </c>
      <c r="L31" s="107">
        <f t="shared" si="83"/>
        <v>3288.1854222821203</v>
      </c>
      <c r="M31" s="87">
        <f t="shared" si="83"/>
        <v>0</v>
      </c>
      <c r="N31" s="87">
        <f t="shared" ref="N31:P31" si="84">N13/N6</f>
        <v>0</v>
      </c>
      <c r="O31" s="87">
        <f t="shared" si="84"/>
        <v>0</v>
      </c>
      <c r="P31" s="107">
        <f t="shared" si="84"/>
        <v>0</v>
      </c>
      <c r="V31" s="87">
        <f t="shared" ref="V31:Y31" si="85">V13/V6</f>
        <v>0</v>
      </c>
      <c r="W31" s="87">
        <f t="shared" si="85"/>
        <v>0</v>
      </c>
      <c r="X31" s="87">
        <f t="shared" si="85"/>
        <v>0</v>
      </c>
      <c r="Y31" s="87">
        <f t="shared" si="85"/>
        <v>0</v>
      </c>
      <c r="Z31" s="95">
        <f t="shared" ref="Z31:AE31" si="86">Z13/Z6</f>
        <v>0</v>
      </c>
      <c r="AA31" s="95">
        <f t="shared" si="86"/>
        <v>0</v>
      </c>
      <c r="AB31" s="95">
        <f t="shared" si="86"/>
        <v>0</v>
      </c>
      <c r="AC31" s="95">
        <f t="shared" si="86"/>
        <v>0</v>
      </c>
      <c r="AD31" s="95">
        <f t="shared" si="86"/>
        <v>0</v>
      </c>
      <c r="AE31" s="87">
        <f t="shared" si="86"/>
        <v>0</v>
      </c>
      <c r="AF31" s="87">
        <f t="shared" ref="AF31:AO31" si="87">AF13/AF6</f>
        <v>0</v>
      </c>
      <c r="AG31" s="87">
        <f t="shared" si="87"/>
        <v>0</v>
      </c>
      <c r="AH31" s="87">
        <f t="shared" si="87"/>
        <v>0</v>
      </c>
      <c r="AI31" s="107">
        <f t="shared" si="87"/>
        <v>0</v>
      </c>
      <c r="AN31" s="107"/>
      <c r="AO31" s="87">
        <f t="shared" si="87"/>
        <v>0</v>
      </c>
      <c r="AP31" s="87">
        <f t="shared" ref="AP31:AY31" si="88">AP13/AP6</f>
        <v>0</v>
      </c>
      <c r="AQ31" s="87">
        <f t="shared" si="88"/>
        <v>0</v>
      </c>
      <c r="AR31" s="87">
        <f t="shared" si="88"/>
        <v>0</v>
      </c>
      <c r="AS31" s="87">
        <f t="shared" si="88"/>
        <v>0</v>
      </c>
      <c r="AT31" s="87">
        <f t="shared" si="88"/>
        <v>0</v>
      </c>
      <c r="AU31" s="87">
        <f t="shared" si="88"/>
        <v>0</v>
      </c>
      <c r="AV31" s="87">
        <f t="shared" si="88"/>
        <v>0</v>
      </c>
      <c r="AW31" s="87">
        <f t="shared" si="88"/>
        <v>0</v>
      </c>
      <c r="AX31" s="87">
        <f t="shared" si="88"/>
        <v>0</v>
      </c>
      <c r="AY31" s="87">
        <f t="shared" si="88"/>
        <v>0</v>
      </c>
      <c r="AZ31" s="87">
        <f t="shared" ref="AZ31:BC31" si="89">AZ13/AZ6</f>
        <v>0</v>
      </c>
      <c r="BA31" s="87">
        <f t="shared" si="89"/>
        <v>0</v>
      </c>
      <c r="BB31" s="87">
        <f t="shared" si="89"/>
        <v>0</v>
      </c>
      <c r="BC31" s="87">
        <f t="shared" si="89"/>
        <v>0</v>
      </c>
    </row>
    <row r="32" spans="2:55" s="87" customFormat="1" x14ac:dyDescent="0.2">
      <c r="B32" s="87" t="s">
        <v>51</v>
      </c>
      <c r="C32" s="87">
        <f>(C20/C6)*100000</f>
        <v>172.67985194204269</v>
      </c>
      <c r="D32" s="87">
        <f t="shared" ref="D32:G32" si="90">(D20/D6)*100000</f>
        <v>167.32647062269231</v>
      </c>
      <c r="E32" s="87">
        <f t="shared" si="90"/>
        <v>126.47774472158896</v>
      </c>
      <c r="F32" s="87">
        <f t="shared" si="90"/>
        <v>87.325408688700563</v>
      </c>
      <c r="G32" s="107">
        <f t="shared" si="90"/>
        <v>62.320048356678761</v>
      </c>
      <c r="H32" s="87">
        <f t="shared" ref="H32:M32" si="91">(H20/H6)*100000</f>
        <v>10001.621008267142</v>
      </c>
      <c r="I32" s="87">
        <f t="shared" si="91"/>
        <v>14071.538593188432</v>
      </c>
      <c r="J32" s="87">
        <f t="shared" si="91"/>
        <v>13264.592799720378</v>
      </c>
      <c r="K32" s="87">
        <f t="shared" si="91"/>
        <v>10969.337419923442</v>
      </c>
      <c r="L32" s="107">
        <f t="shared" si="91"/>
        <v>11928.627583108715</v>
      </c>
      <c r="M32" s="87">
        <f t="shared" si="91"/>
        <v>256.51000155017448</v>
      </c>
      <c r="N32" s="87">
        <f t="shared" ref="N32:P32" si="92">(N20/N6)*100000</f>
        <v>264.22333477371751</v>
      </c>
      <c r="O32" s="87">
        <f t="shared" si="92"/>
        <v>244.33166255519069</v>
      </c>
      <c r="P32" s="107">
        <f t="shared" si="92"/>
        <v>212.05056155338457</v>
      </c>
      <c r="V32" s="87">
        <f t="shared" ref="V32:Y32" si="93">(V20/V6)*100000</f>
        <v>3778.9203084832907</v>
      </c>
      <c r="W32" s="87">
        <f t="shared" si="93"/>
        <v>3728.1067556296912</v>
      </c>
      <c r="X32" s="87">
        <f t="shared" si="93"/>
        <v>2969.9248120300754</v>
      </c>
      <c r="Y32" s="87">
        <f t="shared" si="93"/>
        <v>2673.0987514188423</v>
      </c>
      <c r="Z32" s="95">
        <f t="shared" ref="Z32:AE32" si="94">(Z20/Z6)*100000</f>
        <v>2969.8298757526209</v>
      </c>
      <c r="AA32" s="95">
        <f t="shared" si="94"/>
        <v>4126.7639741980938</v>
      </c>
      <c r="AB32" s="95">
        <f t="shared" si="94"/>
        <v>4493.7910664729397</v>
      </c>
      <c r="AC32" s="95">
        <f t="shared" si="94"/>
        <v>3704.6476230929879</v>
      </c>
      <c r="AD32" s="95">
        <f t="shared" si="94"/>
        <v>3803.0858241351684</v>
      </c>
      <c r="AE32" s="87">
        <f t="shared" si="94"/>
        <v>133.02317476912353</v>
      </c>
      <c r="AF32" s="87">
        <f t="shared" ref="AF32:AO32" si="95">(AF20/AF6)*100000</f>
        <v>199.45135332845649</v>
      </c>
      <c r="AG32" s="87">
        <f t="shared" si="95"/>
        <v>149.87533619961914</v>
      </c>
      <c r="AH32" s="87">
        <f t="shared" si="95"/>
        <v>203.9648400972508</v>
      </c>
      <c r="AI32" s="107">
        <f t="shared" si="95"/>
        <v>722.13710683388115</v>
      </c>
      <c r="AN32" s="107"/>
      <c r="AO32" s="87">
        <f t="shared" si="95"/>
        <v>1781.4903682526715</v>
      </c>
      <c r="AP32" s="87">
        <f t="shared" ref="AP32:AY32" si="96">(AP20/AP6)*100000</f>
        <v>2711.9199564658156</v>
      </c>
      <c r="AQ32" s="87">
        <f t="shared" si="96"/>
        <v>2716.4650549297976</v>
      </c>
      <c r="AR32" s="87">
        <f t="shared" si="96"/>
        <v>2089.6272556787167</v>
      </c>
      <c r="AS32" s="87">
        <f t="shared" si="96"/>
        <v>1594.2970599326661</v>
      </c>
      <c r="AT32" s="87">
        <f t="shared" si="96"/>
        <v>6955.3797916778931</v>
      </c>
      <c r="AU32" s="87">
        <f t="shared" si="96"/>
        <v>7247.2020377835443</v>
      </c>
      <c r="AV32" s="87">
        <f t="shared" si="96"/>
        <v>8005.9501638855781</v>
      </c>
      <c r="AW32" s="87">
        <f t="shared" si="96"/>
        <v>9710.3531917712571</v>
      </c>
      <c r="AX32" s="87">
        <f t="shared" si="96"/>
        <v>8798.3368745802654</v>
      </c>
      <c r="AY32" s="87">
        <f t="shared" si="96"/>
        <v>0</v>
      </c>
      <c r="AZ32" s="87">
        <f t="shared" ref="AZ32:BC32" si="97">(AZ20/AZ6)*100000</f>
        <v>6272.2888689323654</v>
      </c>
      <c r="BA32" s="87">
        <f t="shared" si="97"/>
        <v>5977.1126760563375</v>
      </c>
      <c r="BB32" s="87">
        <f t="shared" si="97"/>
        <v>4813.6139516144503</v>
      </c>
      <c r="BC32" s="87">
        <f t="shared" si="97"/>
        <v>4153.9454190892611</v>
      </c>
    </row>
    <row r="33" spans="2:55" s="87" customFormat="1" x14ac:dyDescent="0.2">
      <c r="B33" s="87" t="s">
        <v>53</v>
      </c>
      <c r="C33" s="87">
        <f>(C20/C7)*100000</f>
        <v>29.275345899666721</v>
      </c>
      <c r="D33" s="87">
        <f t="shared" ref="D33:G33" si="98">(D20/D7)*100000</f>
        <v>28.09408609175577</v>
      </c>
      <c r="E33" s="87">
        <f t="shared" si="98"/>
        <v>21.759635136084793</v>
      </c>
      <c r="F33" s="87">
        <f t="shared" si="98"/>
        <v>14.784042857142856</v>
      </c>
      <c r="G33" s="107">
        <f t="shared" si="98"/>
        <v>10.602079240777025</v>
      </c>
      <c r="H33" s="87">
        <f t="shared" ref="H33:M33" si="99">(H20/H7)*100000</f>
        <v>89.26429130095498</v>
      </c>
      <c r="I33" s="87">
        <f t="shared" si="99"/>
        <v>128.64962332980025</v>
      </c>
      <c r="J33" s="87">
        <f t="shared" si="99"/>
        <v>125.22233376094007</v>
      </c>
      <c r="K33" s="87">
        <f t="shared" si="99"/>
        <v>166.26613787428573</v>
      </c>
      <c r="L33" s="107">
        <f t="shared" si="99"/>
        <v>213.10207857916566</v>
      </c>
      <c r="M33" s="87">
        <f t="shared" si="99"/>
        <v>84.23515535479136</v>
      </c>
      <c r="N33" s="87">
        <f t="shared" ref="N33:P33" si="100">(N20/N7)*100000</f>
        <v>86.997498821908877</v>
      </c>
      <c r="O33" s="87">
        <f t="shared" si="100"/>
        <v>80.266695343585326</v>
      </c>
      <c r="P33" s="107">
        <f t="shared" si="100"/>
        <v>75.374320471510828</v>
      </c>
      <c r="V33" s="87">
        <f t="shared" ref="V33:Y33" si="101">(V20/V7)*100000</f>
        <v>76.156351303273482</v>
      </c>
      <c r="W33" s="87">
        <f t="shared" si="101"/>
        <v>64.110800904395433</v>
      </c>
      <c r="X33" s="87">
        <f t="shared" si="101"/>
        <v>96.569180215061195</v>
      </c>
      <c r="Y33" s="87">
        <f t="shared" si="101"/>
        <v>86.671595968007907</v>
      </c>
      <c r="Z33" s="95">
        <f t="shared" ref="Z33:AE33" si="102">(Z20/Z7)*100000</f>
        <v>40.835006188842605</v>
      </c>
      <c r="AA33" s="95">
        <f t="shared" si="102"/>
        <v>57.618513066848038</v>
      </c>
      <c r="AB33" s="95">
        <f t="shared" si="102"/>
        <v>61.310863101418633</v>
      </c>
      <c r="AC33" s="95">
        <f t="shared" si="102"/>
        <v>50.891456767629904</v>
      </c>
      <c r="AD33" s="95">
        <f t="shared" si="102"/>
        <v>46.595047273191426</v>
      </c>
      <c r="AE33" s="87">
        <f t="shared" si="102"/>
        <v>49.440457995492579</v>
      </c>
      <c r="AF33" s="87">
        <f t="shared" ref="AF33:AO33" si="103">(AF20/AF7)*100000</f>
        <v>94.976362279173927</v>
      </c>
      <c r="AG33" s="87">
        <f t="shared" si="103"/>
        <v>71.369007553660907</v>
      </c>
      <c r="AH33" s="87">
        <f t="shared" si="103"/>
        <v>97.126114332024187</v>
      </c>
      <c r="AI33" s="107">
        <f t="shared" si="103"/>
        <v>343.87481277803869</v>
      </c>
      <c r="AN33" s="107"/>
      <c r="AO33" s="87">
        <f t="shared" si="103"/>
        <v>99.590199004505109</v>
      </c>
      <c r="AP33" s="87">
        <f t="shared" ref="AP33:AY33" si="104">(AP20/AP7)*100000</f>
        <v>153.12086372732986</v>
      </c>
      <c r="AQ33" s="87">
        <f t="shared" si="104"/>
        <v>154.21177010481142</v>
      </c>
      <c r="AR33" s="87">
        <f t="shared" si="104"/>
        <v>138.27312584749677</v>
      </c>
      <c r="AS33" s="87">
        <f t="shared" si="104"/>
        <v>119.16049074154567</v>
      </c>
      <c r="AT33" s="87">
        <f t="shared" si="104"/>
        <v>154.56399537061986</v>
      </c>
      <c r="AU33" s="87">
        <f t="shared" si="104"/>
        <v>161.04893417296765</v>
      </c>
      <c r="AV33" s="87">
        <f t="shared" si="104"/>
        <v>177.91000364190174</v>
      </c>
      <c r="AW33" s="87">
        <f t="shared" si="104"/>
        <v>215.78562648380574</v>
      </c>
      <c r="AX33" s="87">
        <f t="shared" si="104"/>
        <v>195.51859721289475</v>
      </c>
      <c r="AY33" s="87">
        <f t="shared" si="104"/>
        <v>0</v>
      </c>
      <c r="AZ33" s="87">
        <f t="shared" ref="AZ33:BC33" si="105">(AZ20/AZ7)*100000</f>
        <v>93.059815673327776</v>
      </c>
      <c r="BA33" s="87">
        <f t="shared" si="105"/>
        <v>73.435842687710988</v>
      </c>
      <c r="BB33" s="87">
        <f t="shared" si="105"/>
        <v>50.618800205719324</v>
      </c>
      <c r="BC33" s="87">
        <f t="shared" si="105"/>
        <v>43.245656305184042</v>
      </c>
    </row>
    <row r="34" spans="2:55" s="87" customFormat="1" x14ac:dyDescent="0.2">
      <c r="B34" s="87" t="s">
        <v>76</v>
      </c>
      <c r="C34" s="87">
        <f>(C20*1000)/C4</f>
        <v>19.873083024854573</v>
      </c>
      <c r="D34" s="87">
        <f t="shared" ref="D34:G34" si="106">(D20*1000)/D4</f>
        <v>12.570817134120491</v>
      </c>
      <c r="E34" s="87">
        <f t="shared" si="106"/>
        <v>9.1105640659096121</v>
      </c>
      <c r="F34" s="87">
        <f t="shared" si="106"/>
        <v>8.6240249999999996</v>
      </c>
      <c r="G34" s="107">
        <f t="shared" si="106"/>
        <v>6.901698540722454</v>
      </c>
      <c r="H34" s="87">
        <f t="shared" ref="H34:M34" si="107">(H20*1000)/H4</f>
        <v>21.657832704650453</v>
      </c>
      <c r="I34" s="87">
        <f t="shared" si="107"/>
        <v>22.093598177049746</v>
      </c>
      <c r="J34" s="87">
        <f t="shared" si="107"/>
        <v>23.409898946848958</v>
      </c>
      <c r="K34" s="87">
        <f t="shared" si="107"/>
        <v>23.605374971338961</v>
      </c>
      <c r="L34" s="107">
        <f t="shared" si="107"/>
        <v>20.846111195615375</v>
      </c>
      <c r="M34" s="87">
        <f t="shared" si="107"/>
        <v>6.3938525695705106</v>
      </c>
      <c r="N34" s="87">
        <f t="shared" ref="N34:P34" si="108">(N20*1000)/N4</f>
        <v>5.2763487666534754</v>
      </c>
      <c r="O34" s="87">
        <f t="shared" si="108"/>
        <v>4.8811622711791696</v>
      </c>
      <c r="P34" s="107">
        <f t="shared" si="108"/>
        <v>5.1008930486599038</v>
      </c>
      <c r="V34" s="87">
        <f t="shared" ref="V34:Y34" si="109">(V20*1000)/V4</f>
        <v>23.931520036814383</v>
      </c>
      <c r="W34" s="87">
        <f t="shared" si="109"/>
        <v>24.162162162162161</v>
      </c>
      <c r="X34" s="87">
        <f t="shared" si="109"/>
        <v>25.621621621621621</v>
      </c>
      <c r="Y34" s="87">
        <f t="shared" si="109"/>
        <v>24.250387568561408</v>
      </c>
      <c r="Z34" s="95">
        <f t="shared" ref="Z34:AE34" si="110">(Z20*1000)/Z4</f>
        <v>17.700964161595579</v>
      </c>
      <c r="AA34" s="95">
        <f t="shared" si="110"/>
        <v>18.651793982530464</v>
      </c>
      <c r="AB34" s="95">
        <f t="shared" si="110"/>
        <v>19.471095274432283</v>
      </c>
      <c r="AC34" s="95">
        <f t="shared" si="110"/>
        <v>20.640051975697631</v>
      </c>
      <c r="AD34" s="95">
        <f t="shared" si="110"/>
        <v>20.817318494704747</v>
      </c>
      <c r="AE34" s="87">
        <f t="shared" si="110"/>
        <v>1.8370873038791029</v>
      </c>
      <c r="AF34" s="87">
        <f>(AF20*1000)/AF4</f>
        <v>2.2653412462908014</v>
      </c>
      <c r="AG34" s="87">
        <f t="shared" ref="AG34:AO34" si="111">(AG20*1000)/AG4</f>
        <v>2.2653412462908014</v>
      </c>
      <c r="AH34" s="87">
        <f t="shared" si="111"/>
        <v>2.2653412462908014</v>
      </c>
      <c r="AI34" s="107">
        <f t="shared" si="111"/>
        <v>7.9879721068249268</v>
      </c>
      <c r="AN34" s="107"/>
      <c r="AO34" s="87">
        <f t="shared" si="111"/>
        <v>20.130711413332179</v>
      </c>
      <c r="AP34" s="87">
        <f t="shared" ref="AP34:AY34" si="112">(AP20*1000)/AP4</f>
        <v>21.082563558965557</v>
      </c>
      <c r="AQ34" s="87">
        <f t="shared" si="112"/>
        <v>22.721136231008863</v>
      </c>
      <c r="AR34" s="87">
        <f t="shared" si="112"/>
        <v>23.335817900349749</v>
      </c>
      <c r="AS34" s="87">
        <f t="shared" si="112"/>
        <v>21.494508456303482</v>
      </c>
      <c r="AT34" s="87">
        <f t="shared" si="112"/>
        <v>24.828002852548735</v>
      </c>
      <c r="AU34" s="87">
        <f t="shared" si="112"/>
        <v>25.598635998991323</v>
      </c>
      <c r="AV34" s="87">
        <f t="shared" si="112"/>
        <v>27.709135853000017</v>
      </c>
      <c r="AW34" s="87">
        <f t="shared" si="112"/>
        <v>32.879820550427056</v>
      </c>
      <c r="AX34" s="87">
        <f t="shared" si="112"/>
        <v>31.687670156333326</v>
      </c>
      <c r="AY34" s="87">
        <f t="shared" si="112"/>
        <v>0</v>
      </c>
      <c r="AZ34" s="87">
        <f t="shared" ref="AZ34:BC34" si="113">(AZ20*1000)/AZ4</f>
        <v>21.424290673881977</v>
      </c>
      <c r="BA34" s="87">
        <f t="shared" si="113"/>
        <v>21.670750692393074</v>
      </c>
      <c r="BB34" s="87">
        <f t="shared" si="113"/>
        <v>22.564978865005845</v>
      </c>
      <c r="BC34" s="87">
        <f t="shared" si="113"/>
        <v>20.884189161026086</v>
      </c>
    </row>
    <row r="35" spans="2:55" x14ac:dyDescent="0.2">
      <c r="P35" s="31"/>
    </row>
  </sheetData>
  <mergeCells count="12">
    <mergeCell ref="B2:B3"/>
    <mergeCell ref="AE2:AI2"/>
    <mergeCell ref="AY2:BC2"/>
    <mergeCell ref="C2:G2"/>
    <mergeCell ref="M2:P2"/>
    <mergeCell ref="H2:L2"/>
    <mergeCell ref="AO2:AS2"/>
    <mergeCell ref="Q2:U2"/>
    <mergeCell ref="Z2:AD2"/>
    <mergeCell ref="V2:Y2"/>
    <mergeCell ref="AT2:AX2"/>
    <mergeCell ref="AJ2:AN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F0750-B1F1-42DE-A177-DA633ACFAC98}">
  <sheetPr>
    <tabColor theme="9" tint="0.39997558519241921"/>
  </sheetPr>
  <dimension ref="A3:AO36"/>
  <sheetViews>
    <sheetView workbookViewId="0">
      <pane xSplit="2" ySplit="4" topLeftCell="C5" activePane="bottomRight" state="frozen"/>
      <selection activeCell="C45" sqref="C45"/>
      <selection pane="topRight" activeCell="C45" sqref="C45"/>
      <selection pane="bottomLeft" activeCell="C45" sqref="C45"/>
      <selection pane="bottomRight" activeCell="AA46" sqref="AA46"/>
    </sheetView>
  </sheetViews>
  <sheetFormatPr baseColWidth="10" defaultColWidth="10.85546875" defaultRowHeight="12" x14ac:dyDescent="0.2"/>
  <cols>
    <col min="1" max="1" width="3.140625" style="4" customWidth="1"/>
    <col min="2" max="2" width="27.140625" style="4" customWidth="1"/>
    <col min="3" max="12" width="11.28515625" style="4" customWidth="1"/>
    <col min="13" max="16" width="12.28515625" style="4" customWidth="1"/>
    <col min="17" max="17" width="10" style="34" bestFit="1" customWidth="1"/>
    <col min="18" max="18" width="10" style="34" customWidth="1"/>
    <col min="19" max="21" width="10" style="34" bestFit="1" customWidth="1"/>
    <col min="22" max="31" width="11.28515625" style="4" customWidth="1"/>
    <col min="32" max="32" width="11.140625" style="4" customWidth="1"/>
    <col min="33" max="37" width="11.42578125" style="4" customWidth="1"/>
    <col min="38" max="16384" width="10.85546875" style="4"/>
  </cols>
  <sheetData>
    <row r="3" spans="1:41" s="139" customFormat="1" x14ac:dyDescent="0.2">
      <c r="A3" s="384" t="s">
        <v>69</v>
      </c>
      <c r="B3" s="386" t="s">
        <v>70</v>
      </c>
      <c r="C3" s="383" t="s">
        <v>3</v>
      </c>
      <c r="D3" s="383"/>
      <c r="E3" s="383"/>
      <c r="F3" s="383"/>
      <c r="G3" s="383"/>
      <c r="H3" s="383" t="s">
        <v>101</v>
      </c>
      <c r="I3" s="383"/>
      <c r="J3" s="383"/>
      <c r="K3" s="383"/>
      <c r="L3" s="383"/>
      <c r="M3" s="383" t="s">
        <v>85</v>
      </c>
      <c r="N3" s="383"/>
      <c r="O3" s="383"/>
      <c r="P3" s="383"/>
      <c r="Q3" s="383" t="s">
        <v>7</v>
      </c>
      <c r="R3" s="383"/>
      <c r="S3" s="383"/>
      <c r="T3" s="383"/>
      <c r="U3" s="383"/>
      <c r="V3" s="383" t="s">
        <v>98</v>
      </c>
      <c r="W3" s="383"/>
      <c r="X3" s="383"/>
      <c r="Y3" s="383"/>
      <c r="Z3" s="383"/>
      <c r="AA3" s="383" t="s">
        <v>9</v>
      </c>
      <c r="AB3" s="383"/>
      <c r="AC3" s="383"/>
      <c r="AD3" s="383"/>
      <c r="AE3" s="383"/>
      <c r="AF3" s="383" t="s">
        <v>75</v>
      </c>
      <c r="AG3" s="383"/>
      <c r="AH3" s="383"/>
      <c r="AI3" s="383"/>
      <c r="AJ3" s="391"/>
    </row>
    <row r="4" spans="1:41" s="42" customFormat="1" ht="12.75" thickBot="1" x14ac:dyDescent="0.25">
      <c r="A4" s="385"/>
      <c r="B4" s="387"/>
      <c r="C4" s="63">
        <v>2019</v>
      </c>
      <c r="D4" s="63">
        <v>2020</v>
      </c>
      <c r="E4" s="63">
        <v>2021</v>
      </c>
      <c r="F4" s="63">
        <v>2022</v>
      </c>
      <c r="G4" s="63">
        <v>2023</v>
      </c>
      <c r="H4" s="63">
        <v>2019</v>
      </c>
      <c r="I4" s="63">
        <v>2020</v>
      </c>
      <c r="J4" s="63">
        <v>2021</v>
      </c>
      <c r="K4" s="63">
        <v>2022</v>
      </c>
      <c r="L4" s="63">
        <v>2023</v>
      </c>
      <c r="M4" s="63">
        <v>2020</v>
      </c>
      <c r="N4" s="63">
        <v>2021</v>
      </c>
      <c r="O4" s="63">
        <v>2022</v>
      </c>
      <c r="P4" s="63">
        <v>2023</v>
      </c>
      <c r="Q4" s="96">
        <v>2019</v>
      </c>
      <c r="R4" s="96">
        <v>2020</v>
      </c>
      <c r="S4" s="96">
        <v>2021</v>
      </c>
      <c r="T4" s="96">
        <v>2122</v>
      </c>
      <c r="U4" s="97">
        <v>2023</v>
      </c>
      <c r="V4" s="64">
        <v>2019</v>
      </c>
      <c r="W4" s="64">
        <v>2020</v>
      </c>
      <c r="X4" s="64">
        <v>2021</v>
      </c>
      <c r="Y4" s="64">
        <v>2122</v>
      </c>
      <c r="Z4" s="76">
        <v>2023</v>
      </c>
      <c r="AA4" s="63">
        <v>2019</v>
      </c>
      <c r="AB4" s="63">
        <v>2020</v>
      </c>
      <c r="AC4" s="63">
        <v>2021</v>
      </c>
      <c r="AD4" s="63">
        <v>2122</v>
      </c>
      <c r="AE4" s="63">
        <v>2023</v>
      </c>
      <c r="AF4" s="64">
        <v>2019</v>
      </c>
      <c r="AG4" s="64">
        <v>2020</v>
      </c>
      <c r="AH4" s="64">
        <v>2021</v>
      </c>
      <c r="AI4" s="64">
        <v>2022</v>
      </c>
      <c r="AJ4" s="142">
        <v>2023</v>
      </c>
      <c r="AK4" s="388" t="s">
        <v>78</v>
      </c>
      <c r="AL4" s="389"/>
      <c r="AM4" s="389"/>
      <c r="AN4" s="389"/>
      <c r="AO4" s="390"/>
    </row>
    <row r="5" spans="1:41" x14ac:dyDescent="0.2">
      <c r="A5" s="42">
        <v>1</v>
      </c>
      <c r="B5" s="57" t="s">
        <v>10</v>
      </c>
      <c r="C5" s="4">
        <v>138688</v>
      </c>
      <c r="D5" s="4">
        <v>154340</v>
      </c>
      <c r="E5" s="42">
        <v>220763</v>
      </c>
      <c r="F5" s="4">
        <v>140510</v>
      </c>
      <c r="G5" s="102">
        <v>133113</v>
      </c>
      <c r="H5" s="103">
        <v>198755</v>
      </c>
      <c r="I5" s="4">
        <v>476437</v>
      </c>
      <c r="J5" s="4">
        <v>544344</v>
      </c>
      <c r="K5" s="4">
        <v>543147</v>
      </c>
      <c r="L5" s="4">
        <v>555568</v>
      </c>
      <c r="M5" s="99">
        <v>1616087</v>
      </c>
      <c r="N5" s="11">
        <v>1616000</v>
      </c>
      <c r="O5" s="11">
        <v>1761535</v>
      </c>
      <c r="P5" s="55">
        <v>1650000</v>
      </c>
      <c r="Q5" s="34">
        <v>705222.18599999975</v>
      </c>
      <c r="R5" s="34">
        <v>691807.57000000007</v>
      </c>
      <c r="S5" s="34">
        <v>699621.62599999981</v>
      </c>
      <c r="T5" s="34">
        <v>712817.00600000028</v>
      </c>
      <c r="U5" s="40">
        <v>682601.24</v>
      </c>
      <c r="V5" s="34">
        <v>1314950</v>
      </c>
      <c r="W5" s="34">
        <v>1371176</v>
      </c>
      <c r="X5" s="34">
        <v>1325934</v>
      </c>
      <c r="Y5" s="34">
        <v>1203950</v>
      </c>
      <c r="Z5" s="40">
        <v>1561240</v>
      </c>
      <c r="AA5" s="4">
        <v>667616</v>
      </c>
      <c r="AB5" s="4">
        <v>667616</v>
      </c>
      <c r="AC5" s="4">
        <v>679169</v>
      </c>
      <c r="AD5" s="4">
        <v>667078</v>
      </c>
      <c r="AE5" s="30">
        <v>657338</v>
      </c>
      <c r="AF5" s="19"/>
      <c r="AG5" s="19"/>
      <c r="AH5" s="19"/>
      <c r="AI5" s="143"/>
      <c r="AJ5" s="13"/>
      <c r="AK5" s="392" t="s">
        <v>79</v>
      </c>
      <c r="AL5" s="393"/>
      <c r="AM5" s="393"/>
      <c r="AN5" s="393"/>
      <c r="AO5" s="394"/>
    </row>
    <row r="6" spans="1:41" x14ac:dyDescent="0.2">
      <c r="A6" s="42">
        <v>2</v>
      </c>
      <c r="B6" s="266" t="s">
        <v>11</v>
      </c>
      <c r="C6" s="4">
        <v>13768322</v>
      </c>
      <c r="D6" s="4">
        <v>15162768</v>
      </c>
      <c r="E6" s="4">
        <v>19715703</v>
      </c>
      <c r="F6" s="4">
        <v>14414898</v>
      </c>
      <c r="G6" s="4">
        <v>13542223</v>
      </c>
      <c r="H6" s="18"/>
      <c r="M6" s="18" t="s">
        <v>73</v>
      </c>
      <c r="N6" s="12"/>
      <c r="O6" s="12"/>
      <c r="P6" s="60"/>
      <c r="U6" s="40"/>
      <c r="V6" s="34"/>
      <c r="W6" s="34"/>
      <c r="X6" s="34"/>
      <c r="Y6" s="34"/>
      <c r="Z6" s="40"/>
      <c r="AA6" s="4">
        <v>14722516</v>
      </c>
      <c r="AB6" s="4">
        <v>14722516</v>
      </c>
      <c r="AC6" s="4">
        <v>14700000</v>
      </c>
      <c r="AD6" s="4">
        <v>12700000</v>
      </c>
      <c r="AE6" s="30">
        <v>13793000</v>
      </c>
      <c r="AF6" s="19"/>
      <c r="AG6" s="19"/>
      <c r="AH6" s="19"/>
      <c r="AI6" s="143"/>
      <c r="AJ6" s="13"/>
      <c r="AK6" s="395" t="s">
        <v>79</v>
      </c>
      <c r="AL6" s="381"/>
      <c r="AM6" s="381"/>
      <c r="AN6" s="381"/>
      <c r="AO6" s="382"/>
    </row>
    <row r="7" spans="1:41" x14ac:dyDescent="0.2">
      <c r="A7" s="42">
        <v>3</v>
      </c>
      <c r="B7" s="266" t="s">
        <v>12</v>
      </c>
      <c r="C7" s="4">
        <v>130152</v>
      </c>
      <c r="D7" s="4">
        <v>116963</v>
      </c>
      <c r="E7" s="4">
        <v>115677</v>
      </c>
      <c r="F7" s="4">
        <v>126806</v>
      </c>
      <c r="G7" s="4">
        <v>133339</v>
      </c>
      <c r="H7" s="18">
        <v>127488</v>
      </c>
      <c r="I7" s="4">
        <v>503305</v>
      </c>
      <c r="J7" s="4">
        <v>571375</v>
      </c>
      <c r="K7" s="4">
        <v>785973</v>
      </c>
      <c r="L7" s="4">
        <v>888221</v>
      </c>
      <c r="M7" s="100">
        <v>4787000</v>
      </c>
      <c r="N7" s="67">
        <v>5100000</v>
      </c>
      <c r="O7" s="67">
        <v>5238000</v>
      </c>
      <c r="P7" s="68">
        <v>5371000</v>
      </c>
      <c r="Q7" s="34">
        <v>2419159.3625991903</v>
      </c>
      <c r="R7" s="34">
        <v>2099431</v>
      </c>
      <c r="S7" s="34">
        <v>2195953.73</v>
      </c>
      <c r="T7" s="34">
        <v>2092553</v>
      </c>
      <c r="U7" s="40">
        <v>2263792</v>
      </c>
      <c r="V7" s="34">
        <v>3167027</v>
      </c>
      <c r="W7" s="34">
        <v>2823309</v>
      </c>
      <c r="X7" s="34">
        <v>2292627</v>
      </c>
      <c r="Y7" s="34">
        <v>2333145</v>
      </c>
      <c r="Z7" s="40">
        <v>2591628</v>
      </c>
      <c r="AA7" s="4">
        <v>1720399</v>
      </c>
      <c r="AB7" s="4">
        <v>1434310</v>
      </c>
      <c r="AC7" s="4">
        <v>1341151</v>
      </c>
      <c r="AD7" s="4">
        <v>1468353</v>
      </c>
      <c r="AE7" s="30">
        <v>1591713</v>
      </c>
      <c r="AF7" s="144">
        <v>4425101</v>
      </c>
      <c r="AG7" s="144">
        <v>4010185</v>
      </c>
      <c r="AH7" s="144">
        <v>4255849</v>
      </c>
      <c r="AI7" s="144">
        <v>4270833</v>
      </c>
      <c r="AJ7" s="145">
        <v>4439307</v>
      </c>
      <c r="AK7" s="395" t="s">
        <v>80</v>
      </c>
      <c r="AL7" s="381"/>
      <c r="AM7" s="381"/>
      <c r="AN7" s="381"/>
      <c r="AO7" s="382"/>
    </row>
    <row r="8" spans="1:41" s="147" customFormat="1" x14ac:dyDescent="0.2">
      <c r="A8" s="146">
        <v>4</v>
      </c>
      <c r="B8" s="267" t="s">
        <v>80</v>
      </c>
      <c r="H8" s="153"/>
      <c r="M8" s="154">
        <v>2483000</v>
      </c>
      <c r="N8" s="155">
        <v>2733000</v>
      </c>
      <c r="O8" s="155">
        <v>2921000</v>
      </c>
      <c r="P8" s="156">
        <v>3087000</v>
      </c>
      <c r="Q8" s="148"/>
      <c r="R8" s="148"/>
      <c r="S8" s="148"/>
      <c r="T8" s="148"/>
      <c r="U8" s="149"/>
      <c r="V8" s="148">
        <v>1030727</v>
      </c>
      <c r="W8" s="148">
        <v>941103</v>
      </c>
      <c r="X8" s="148">
        <v>1009146</v>
      </c>
      <c r="Y8" s="148">
        <v>1036000</v>
      </c>
      <c r="Z8" s="149">
        <v>1148000</v>
      </c>
      <c r="AE8" s="150"/>
      <c r="AF8" s="151"/>
      <c r="AG8" s="151"/>
      <c r="AH8" s="151"/>
      <c r="AI8" s="151"/>
      <c r="AJ8" s="152"/>
      <c r="AK8" s="160"/>
      <c r="AL8" s="161"/>
      <c r="AM8" s="161"/>
      <c r="AN8" s="161"/>
      <c r="AO8" s="162"/>
    </row>
    <row r="9" spans="1:41" s="147" customFormat="1" x14ac:dyDescent="0.2">
      <c r="A9" s="146">
        <v>5</v>
      </c>
      <c r="B9" s="267" t="s">
        <v>81</v>
      </c>
      <c r="H9" s="153"/>
      <c r="M9" s="154">
        <v>3651000</v>
      </c>
      <c r="N9" s="155">
        <v>3910000</v>
      </c>
      <c r="O9" s="155">
        <v>4147000</v>
      </c>
      <c r="P9" s="156">
        <v>4372000</v>
      </c>
      <c r="Q9" s="148"/>
      <c r="R9" s="148"/>
      <c r="S9" s="148"/>
      <c r="T9" s="148"/>
      <c r="U9" s="149"/>
      <c r="V9" s="148">
        <v>1668293</v>
      </c>
      <c r="W9" s="148">
        <v>1558333</v>
      </c>
      <c r="X9" s="148">
        <v>1668734</v>
      </c>
      <c r="Y9" s="148">
        <v>1691737</v>
      </c>
      <c r="Z9" s="149">
        <v>1862491</v>
      </c>
      <c r="AE9" s="150"/>
      <c r="AF9" s="151">
        <v>6562042</v>
      </c>
      <c r="AG9" s="151">
        <v>6122288</v>
      </c>
      <c r="AH9" s="151">
        <v>6512848</v>
      </c>
      <c r="AI9" s="151">
        <v>6470052</v>
      </c>
      <c r="AJ9" s="152">
        <v>6624315</v>
      </c>
      <c r="AK9" s="396" t="s">
        <v>81</v>
      </c>
      <c r="AL9" s="397"/>
      <c r="AM9" s="397"/>
      <c r="AN9" s="397"/>
      <c r="AO9" s="398"/>
    </row>
    <row r="10" spans="1:41" s="147" customFormat="1" x14ac:dyDescent="0.2">
      <c r="A10" s="146">
        <v>6</v>
      </c>
      <c r="B10" s="267" t="s">
        <v>82</v>
      </c>
      <c r="H10" s="153"/>
      <c r="M10" s="154">
        <v>4787000</v>
      </c>
      <c r="N10" s="155">
        <v>5100000</v>
      </c>
      <c r="O10" s="155">
        <v>5238000</v>
      </c>
      <c r="P10" s="156">
        <v>5371000</v>
      </c>
      <c r="Q10" s="148"/>
      <c r="R10" s="148"/>
      <c r="S10" s="148"/>
      <c r="T10" s="148"/>
      <c r="U10" s="149"/>
      <c r="V10" s="148">
        <v>3167027</v>
      </c>
      <c r="W10" s="148">
        <v>2823309</v>
      </c>
      <c r="X10" s="148">
        <v>2292627</v>
      </c>
      <c r="Y10" s="148">
        <v>2333145</v>
      </c>
      <c r="Z10" s="149">
        <v>2591628</v>
      </c>
      <c r="AE10" s="150"/>
      <c r="AF10" s="151">
        <v>8307434</v>
      </c>
      <c r="AG10" s="151">
        <v>7010908</v>
      </c>
      <c r="AH10" s="151">
        <v>7340905</v>
      </c>
      <c r="AI10" s="151">
        <v>7330512</v>
      </c>
      <c r="AJ10" s="152">
        <v>7528068</v>
      </c>
      <c r="AK10" s="397" t="s">
        <v>82</v>
      </c>
      <c r="AL10" s="397"/>
      <c r="AM10" s="397"/>
      <c r="AN10" s="397"/>
      <c r="AO10" s="398"/>
    </row>
    <row r="11" spans="1:41" x14ac:dyDescent="0.2">
      <c r="A11" s="42">
        <v>7</v>
      </c>
      <c r="B11" s="266" t="s">
        <v>13</v>
      </c>
      <c r="C11" s="4">
        <v>958575</v>
      </c>
      <c r="D11" s="4">
        <v>880787</v>
      </c>
      <c r="E11" s="4">
        <v>1101364</v>
      </c>
      <c r="F11" s="4">
        <v>861668</v>
      </c>
      <c r="G11" s="4">
        <v>1100259</v>
      </c>
      <c r="H11" s="18">
        <v>2745655</v>
      </c>
      <c r="I11" s="4">
        <v>5253081</v>
      </c>
      <c r="J11" s="4">
        <v>6109516</v>
      </c>
      <c r="K11" s="4">
        <v>7983644</v>
      </c>
      <c r="L11" s="4">
        <v>8745813</v>
      </c>
      <c r="M11" s="101">
        <v>32402268</v>
      </c>
      <c r="N11" s="12">
        <v>36975281</v>
      </c>
      <c r="O11" s="12">
        <v>35309272</v>
      </c>
      <c r="P11" s="60">
        <v>31508385</v>
      </c>
      <c r="Q11" s="34">
        <v>16448773.0194939</v>
      </c>
      <c r="R11" s="34">
        <v>15141735</v>
      </c>
      <c r="S11" s="34">
        <v>15141734.979</v>
      </c>
      <c r="T11" s="34">
        <v>14876733.362</v>
      </c>
      <c r="U11" s="40">
        <v>15236510.738000002</v>
      </c>
      <c r="V11" s="34">
        <v>39631960</v>
      </c>
      <c r="W11" s="34">
        <v>34418049</v>
      </c>
      <c r="X11" s="34">
        <v>10077458</v>
      </c>
      <c r="Y11" s="34">
        <v>30330885</v>
      </c>
      <c r="Z11" s="40">
        <v>33691164</v>
      </c>
      <c r="AA11" s="4">
        <v>14722516</v>
      </c>
      <c r="AB11" s="4">
        <v>11903703</v>
      </c>
      <c r="AC11" s="4">
        <v>11176258</v>
      </c>
      <c r="AD11" s="4">
        <v>12677777</v>
      </c>
      <c r="AE11" s="30">
        <v>13793279</v>
      </c>
      <c r="AF11" s="19"/>
      <c r="AG11" s="19"/>
      <c r="AH11" s="19"/>
      <c r="AI11" s="19"/>
      <c r="AJ11" s="13"/>
      <c r="AK11" s="381" t="s">
        <v>79</v>
      </c>
      <c r="AL11" s="381"/>
      <c r="AM11" s="381"/>
      <c r="AN11" s="381"/>
      <c r="AO11" s="382"/>
    </row>
    <row r="12" spans="1:41" x14ac:dyDescent="0.2">
      <c r="A12" s="42">
        <v>8</v>
      </c>
      <c r="B12" s="266" t="s">
        <v>14</v>
      </c>
      <c r="C12" s="17" t="s">
        <v>28</v>
      </c>
      <c r="D12" s="17" t="s">
        <v>28</v>
      </c>
      <c r="E12" s="17" t="s">
        <v>28</v>
      </c>
      <c r="F12" s="17" t="s">
        <v>28</v>
      </c>
      <c r="G12" s="17" t="s">
        <v>28</v>
      </c>
      <c r="H12" s="18"/>
      <c r="M12" s="101"/>
      <c r="N12" s="12"/>
      <c r="O12" s="12"/>
      <c r="P12" s="60"/>
      <c r="U12" s="40"/>
      <c r="V12" s="34"/>
      <c r="W12" s="34"/>
      <c r="X12" s="34"/>
      <c r="Y12" s="34"/>
      <c r="Z12" s="40"/>
      <c r="AE12" s="30"/>
      <c r="AJ12" s="30"/>
    </row>
    <row r="13" spans="1:41" x14ac:dyDescent="0.2">
      <c r="A13" s="42">
        <v>9</v>
      </c>
      <c r="B13" s="266" t="s">
        <v>15</v>
      </c>
      <c r="C13" s="4">
        <f>SUM(C5)</f>
        <v>138688</v>
      </c>
      <c r="D13" s="4">
        <f>SUM(D5)</f>
        <v>154340</v>
      </c>
      <c r="E13" s="4">
        <f>SUM(E5)</f>
        <v>220763</v>
      </c>
      <c r="F13" s="4">
        <f>SUM(F5)</f>
        <v>140510</v>
      </c>
      <c r="G13" s="4">
        <f>SUM(G5)</f>
        <v>133113</v>
      </c>
      <c r="H13" s="18">
        <v>198755</v>
      </c>
      <c r="I13" s="4">
        <v>476437</v>
      </c>
      <c r="J13" s="4">
        <v>544344</v>
      </c>
      <c r="K13" s="4">
        <v>543147</v>
      </c>
      <c r="L13" s="4">
        <v>555568</v>
      </c>
      <c r="M13" s="101">
        <f>1.15*M5</f>
        <v>1858500.0499999998</v>
      </c>
      <c r="N13" s="12">
        <f>1.15*N5</f>
        <v>1858399.9999999998</v>
      </c>
      <c r="O13" s="12">
        <f>1.15*O5</f>
        <v>2025765.2499999998</v>
      </c>
      <c r="P13" s="60">
        <f>1.15*P5</f>
        <v>1897499.9999999998</v>
      </c>
      <c r="Q13" s="38">
        <f>Q5</f>
        <v>705222.18599999975</v>
      </c>
      <c r="R13" s="38">
        <f>R5</f>
        <v>691807.57000000007</v>
      </c>
      <c r="S13" s="38">
        <f>S5</f>
        <v>699621.62599999981</v>
      </c>
      <c r="T13" s="38">
        <f>T5</f>
        <v>712817.00600000028</v>
      </c>
      <c r="U13" s="77">
        <f>U5</f>
        <v>682601.24</v>
      </c>
      <c r="V13" s="38"/>
      <c r="W13" s="38"/>
      <c r="X13" s="38"/>
      <c r="Y13" s="38"/>
      <c r="Z13" s="77"/>
      <c r="AA13" s="4">
        <v>667616</v>
      </c>
      <c r="AB13" s="4">
        <v>667616</v>
      </c>
      <c r="AC13" s="4">
        <v>679169</v>
      </c>
      <c r="AD13" s="4">
        <v>667078</v>
      </c>
      <c r="AE13" s="30">
        <v>657338</v>
      </c>
      <c r="AJ13" s="30"/>
    </row>
    <row r="14" spans="1:41" x14ac:dyDescent="0.2">
      <c r="A14" s="42">
        <v>10</v>
      </c>
      <c r="B14" s="266" t="s">
        <v>66</v>
      </c>
      <c r="H14" s="18"/>
      <c r="M14" s="18">
        <v>942841582</v>
      </c>
      <c r="N14" s="4">
        <v>791110911</v>
      </c>
      <c r="O14" s="4">
        <v>920332138</v>
      </c>
      <c r="P14" s="30">
        <v>1116589870</v>
      </c>
      <c r="Q14" s="34">
        <v>111484000</v>
      </c>
      <c r="R14" s="34">
        <v>199552000</v>
      </c>
      <c r="S14" s="34">
        <v>197660000</v>
      </c>
      <c r="T14" s="34">
        <v>248084000</v>
      </c>
      <c r="U14" s="40">
        <v>321321000</v>
      </c>
      <c r="V14" s="34">
        <v>599035939</v>
      </c>
      <c r="W14" s="34">
        <v>652656687</v>
      </c>
      <c r="X14" s="34">
        <v>623068737</v>
      </c>
      <c r="Y14" s="34">
        <v>706668503</v>
      </c>
      <c r="Z14" s="40">
        <v>914893475</v>
      </c>
      <c r="AA14" s="4">
        <v>263667293.86019802</v>
      </c>
      <c r="AB14" s="4">
        <v>259569422.60142002</v>
      </c>
      <c r="AC14" s="4">
        <v>259488367.94259301</v>
      </c>
      <c r="AD14" s="4">
        <v>297531128.11619198</v>
      </c>
      <c r="AE14" s="30">
        <v>419697411.30034798</v>
      </c>
      <c r="AF14" s="144">
        <v>416917</v>
      </c>
      <c r="AG14" s="144">
        <v>695602</v>
      </c>
      <c r="AH14" s="144">
        <v>693525</v>
      </c>
      <c r="AI14" s="144">
        <v>765442</v>
      </c>
      <c r="AJ14" s="145">
        <v>845362</v>
      </c>
    </row>
    <row r="15" spans="1:41" x14ac:dyDescent="0.2">
      <c r="A15" s="42">
        <v>11</v>
      </c>
      <c r="B15" s="70" t="s">
        <v>67</v>
      </c>
      <c r="H15" s="18"/>
      <c r="M15" s="18"/>
      <c r="P15" s="30"/>
      <c r="U15" s="40"/>
      <c r="V15" s="34"/>
      <c r="W15" s="34"/>
      <c r="X15" s="34"/>
      <c r="Y15" s="34"/>
      <c r="Z15" s="40"/>
      <c r="AA15" s="4">
        <v>0</v>
      </c>
      <c r="AB15" s="4">
        <v>0</v>
      </c>
      <c r="AC15" s="4">
        <v>2300000</v>
      </c>
      <c r="AD15" s="4">
        <v>0</v>
      </c>
      <c r="AE15" s="30">
        <v>0</v>
      </c>
      <c r="AF15" s="144">
        <v>0</v>
      </c>
      <c r="AG15" s="144">
        <v>0</v>
      </c>
      <c r="AH15" s="144">
        <v>0</v>
      </c>
      <c r="AI15" s="144">
        <v>0</v>
      </c>
      <c r="AJ15" s="145">
        <v>0</v>
      </c>
      <c r="AK15" s="20"/>
      <c r="AL15" s="20"/>
      <c r="AM15" s="20"/>
      <c r="AN15" s="20"/>
      <c r="AO15" s="20"/>
    </row>
    <row r="16" spans="1:41" x14ac:dyDescent="0.2">
      <c r="A16" s="42">
        <v>12</v>
      </c>
      <c r="B16" s="70" t="s">
        <v>18</v>
      </c>
      <c r="H16" s="18"/>
      <c r="M16" s="18"/>
      <c r="N16" s="4">
        <v>35412000</v>
      </c>
      <c r="O16" s="4">
        <v>142630000</v>
      </c>
      <c r="P16" s="30">
        <v>195910000</v>
      </c>
      <c r="U16" s="40"/>
      <c r="V16" s="34"/>
      <c r="W16" s="34"/>
      <c r="X16" s="34"/>
      <c r="Y16" s="34"/>
      <c r="Z16" s="40"/>
      <c r="AA16" s="4">
        <v>0</v>
      </c>
      <c r="AB16" s="4">
        <v>1400000</v>
      </c>
      <c r="AC16" s="4">
        <v>2600000</v>
      </c>
      <c r="AD16" s="4">
        <v>9400000</v>
      </c>
      <c r="AE16" s="30">
        <v>3900000</v>
      </c>
      <c r="AF16" s="144">
        <v>0</v>
      </c>
      <c r="AG16" s="144">
        <v>107800000</v>
      </c>
      <c r="AH16" s="144">
        <v>14850000</v>
      </c>
      <c r="AI16" s="144">
        <v>20391000</v>
      </c>
      <c r="AJ16" s="145">
        <v>0</v>
      </c>
    </row>
    <row r="17" spans="1:36" x14ac:dyDescent="0.2">
      <c r="A17" s="42">
        <v>13</v>
      </c>
      <c r="B17" s="70" t="s">
        <v>29</v>
      </c>
      <c r="H17" s="18"/>
      <c r="M17" s="18">
        <f>SUM(M14:M16)</f>
        <v>942841582</v>
      </c>
      <c r="N17" s="4">
        <f t="shared" ref="N17:Z17" si="0">SUM(N14:N16)</f>
        <v>826522911</v>
      </c>
      <c r="O17" s="4">
        <f t="shared" si="0"/>
        <v>1062962138</v>
      </c>
      <c r="P17" s="30">
        <f t="shared" si="0"/>
        <v>1312499870</v>
      </c>
      <c r="Q17" s="4">
        <f t="shared" si="0"/>
        <v>111484000</v>
      </c>
      <c r="R17" s="4">
        <f t="shared" si="0"/>
        <v>199552000</v>
      </c>
      <c r="S17" s="4">
        <f t="shared" si="0"/>
        <v>197660000</v>
      </c>
      <c r="T17" s="4">
        <f t="shared" si="0"/>
        <v>248084000</v>
      </c>
      <c r="U17" s="30">
        <f t="shared" si="0"/>
        <v>321321000</v>
      </c>
      <c r="V17" s="4">
        <f t="shared" si="0"/>
        <v>599035939</v>
      </c>
      <c r="W17" s="4">
        <f t="shared" si="0"/>
        <v>652656687</v>
      </c>
      <c r="X17" s="4">
        <f t="shared" si="0"/>
        <v>623068737</v>
      </c>
      <c r="Y17" s="4">
        <f t="shared" si="0"/>
        <v>706668503</v>
      </c>
      <c r="Z17" s="30">
        <f t="shared" si="0"/>
        <v>914893475</v>
      </c>
      <c r="AA17" s="54">
        <f t="shared" ref="AA17:AF17" si="1">SUM(AA14:AA16)</f>
        <v>263667293.86019802</v>
      </c>
      <c r="AB17" s="54">
        <f t="shared" si="1"/>
        <v>260969422.60142002</v>
      </c>
      <c r="AC17" s="54">
        <f t="shared" si="1"/>
        <v>264388367.94259301</v>
      </c>
      <c r="AD17" s="54">
        <f t="shared" si="1"/>
        <v>306931128.11619198</v>
      </c>
      <c r="AE17" s="57">
        <f t="shared" si="1"/>
        <v>423597411.30034798</v>
      </c>
      <c r="AF17" s="4">
        <f t="shared" si="1"/>
        <v>416917</v>
      </c>
      <c r="AG17" s="4">
        <f t="shared" ref="AG17:AJ17" si="2">SUM(AG14:AG16)</f>
        <v>108495602</v>
      </c>
      <c r="AH17" s="4">
        <f t="shared" si="2"/>
        <v>15543525</v>
      </c>
      <c r="AI17" s="4">
        <f t="shared" si="2"/>
        <v>21156442</v>
      </c>
      <c r="AJ17" s="30">
        <f t="shared" si="2"/>
        <v>845362</v>
      </c>
    </row>
    <row r="18" spans="1:36" x14ac:dyDescent="0.2">
      <c r="A18" s="42">
        <v>14</v>
      </c>
      <c r="B18" s="30" t="s">
        <v>19</v>
      </c>
      <c r="H18" s="18"/>
      <c r="M18" s="71">
        <v>244573029</v>
      </c>
      <c r="N18" s="65">
        <v>242262051</v>
      </c>
      <c r="O18" s="65">
        <v>181467477</v>
      </c>
      <c r="P18" s="72">
        <v>155366395</v>
      </c>
      <c r="Q18" s="34">
        <v>122149000</v>
      </c>
      <c r="R18" s="34">
        <v>120301000</v>
      </c>
      <c r="S18" s="34">
        <v>131307000</v>
      </c>
      <c r="T18" s="34">
        <v>100041466</v>
      </c>
      <c r="U18" s="40">
        <v>88461300</v>
      </c>
      <c r="V18" s="34">
        <v>153272414</v>
      </c>
      <c r="W18" s="34">
        <v>132822449</v>
      </c>
      <c r="X18" s="34">
        <v>157666864</v>
      </c>
      <c r="Y18" s="34">
        <v>98241151</v>
      </c>
      <c r="Z18" s="40">
        <v>60782075</v>
      </c>
      <c r="AA18" s="4">
        <v>63800000</v>
      </c>
      <c r="AB18" s="4">
        <v>65900000.000000007</v>
      </c>
      <c r="AC18" s="4">
        <v>94000000</v>
      </c>
      <c r="AD18" s="4">
        <v>77600000</v>
      </c>
      <c r="AE18" s="30">
        <v>68400000</v>
      </c>
      <c r="AF18" s="144">
        <v>208035361.13</v>
      </c>
      <c r="AG18" s="144">
        <v>330083787.69</v>
      </c>
      <c r="AH18" s="144">
        <v>386935754.79999995</v>
      </c>
      <c r="AI18" s="144">
        <v>311420600.30000001</v>
      </c>
      <c r="AJ18" s="145">
        <v>264756032.39000002</v>
      </c>
    </row>
    <row r="19" spans="1:36" x14ac:dyDescent="0.2">
      <c r="A19" s="42">
        <v>15</v>
      </c>
      <c r="B19" s="30" t="s">
        <v>20</v>
      </c>
      <c r="H19" s="18"/>
      <c r="M19" s="73">
        <v>1189650487</v>
      </c>
      <c r="N19" s="74">
        <v>1038142893</v>
      </c>
      <c r="O19" s="74">
        <v>1105820577</v>
      </c>
      <c r="P19" s="75">
        <v>1274769950</v>
      </c>
      <c r="Q19" s="34">
        <v>224515000</v>
      </c>
      <c r="R19" s="34">
        <v>321798000</v>
      </c>
      <c r="S19" s="34">
        <v>318639000</v>
      </c>
      <c r="T19" s="34">
        <v>337625697</v>
      </c>
      <c r="U19" s="40">
        <v>406852918</v>
      </c>
      <c r="V19" s="34">
        <v>767222944</v>
      </c>
      <c r="W19" s="34">
        <v>768193461</v>
      </c>
      <c r="X19" s="34">
        <v>768324489</v>
      </c>
      <c r="Y19" s="34">
        <v>835036342</v>
      </c>
      <c r="Z19" s="40">
        <v>975387537</v>
      </c>
      <c r="AA19" s="4">
        <v>331374293.86019802</v>
      </c>
      <c r="AB19" s="4">
        <v>329545422.60141999</v>
      </c>
      <c r="AC19" s="4">
        <v>361793367.94259304</v>
      </c>
      <c r="AD19" s="4">
        <v>388312128.11619204</v>
      </c>
      <c r="AE19" s="30">
        <v>496516411.30034798</v>
      </c>
      <c r="AF19" s="144">
        <v>609570970.10000002</v>
      </c>
      <c r="AG19" s="144">
        <v>1017087047.1900001</v>
      </c>
      <c r="AH19" s="144">
        <v>1052577283.88</v>
      </c>
      <c r="AI19" s="144">
        <v>1042610144.66</v>
      </c>
      <c r="AJ19" s="145">
        <v>1114150630.96</v>
      </c>
    </row>
    <row r="20" spans="1:36" x14ac:dyDescent="0.2">
      <c r="A20" s="42">
        <v>16</v>
      </c>
      <c r="B20" s="62" t="s">
        <v>21</v>
      </c>
      <c r="H20" s="18"/>
      <c r="M20" s="18"/>
      <c r="P20" s="30"/>
      <c r="Q20" s="34">
        <v>12876000</v>
      </c>
      <c r="R20" s="34">
        <v>9013000</v>
      </c>
      <c r="S20" s="34">
        <v>12299000</v>
      </c>
      <c r="T20" s="34">
        <v>14346000</v>
      </c>
      <c r="U20" s="40">
        <v>6229000</v>
      </c>
      <c r="V20" s="34"/>
      <c r="W20" s="34"/>
      <c r="X20" s="34"/>
      <c r="Y20" s="34"/>
      <c r="Z20" s="40"/>
      <c r="AA20" s="4">
        <v>0</v>
      </c>
      <c r="AB20" s="4">
        <v>0</v>
      </c>
      <c r="AC20" s="4">
        <v>0</v>
      </c>
      <c r="AD20" s="4">
        <v>0</v>
      </c>
      <c r="AE20" s="30">
        <v>0</v>
      </c>
      <c r="AF20" s="144"/>
      <c r="AG20" s="144"/>
      <c r="AH20" s="144"/>
      <c r="AI20" s="144"/>
      <c r="AJ20" s="145"/>
    </row>
    <row r="21" spans="1:36" x14ac:dyDescent="0.2">
      <c r="A21" s="42">
        <v>17</v>
      </c>
      <c r="B21" s="62" t="s">
        <v>22</v>
      </c>
      <c r="H21" s="18"/>
      <c r="M21" s="71">
        <v>1189650487</v>
      </c>
      <c r="N21" s="65">
        <v>1038142893</v>
      </c>
      <c r="O21" s="65">
        <v>1105820577</v>
      </c>
      <c r="P21" s="72">
        <v>1274769950</v>
      </c>
      <c r="Q21" s="34">
        <f>SUM(Q19:Q20)</f>
        <v>237391000</v>
      </c>
      <c r="R21" s="34">
        <f t="shared" ref="R21:V21" si="3">SUM(R19:R20)</f>
        <v>330811000</v>
      </c>
      <c r="S21" s="34">
        <f t="shared" si="3"/>
        <v>330938000</v>
      </c>
      <c r="T21" s="34">
        <f t="shared" si="3"/>
        <v>351971697</v>
      </c>
      <c r="U21" s="40">
        <f t="shared" si="3"/>
        <v>413081918</v>
      </c>
      <c r="V21" s="34">
        <f t="shared" si="3"/>
        <v>767222944</v>
      </c>
      <c r="W21" s="34">
        <f t="shared" ref="W21:Z21" si="4">SUM(W19:W20)</f>
        <v>768193461</v>
      </c>
      <c r="X21" s="34">
        <f t="shared" si="4"/>
        <v>768324489</v>
      </c>
      <c r="Y21" s="34">
        <f t="shared" si="4"/>
        <v>835036342</v>
      </c>
      <c r="Z21" s="40">
        <f t="shared" si="4"/>
        <v>975387537</v>
      </c>
      <c r="AA21" s="4">
        <v>331374293.86019802</v>
      </c>
      <c r="AB21" s="4">
        <v>329545422.60141999</v>
      </c>
      <c r="AC21" s="4">
        <v>361793367.94259304</v>
      </c>
      <c r="AD21" s="4">
        <v>388312128.11619204</v>
      </c>
      <c r="AE21" s="30">
        <v>496516411.30034798</v>
      </c>
      <c r="AF21" s="4">
        <f>SUM(AF19:AF20)</f>
        <v>609570970.10000002</v>
      </c>
      <c r="AG21" s="4">
        <f t="shared" ref="AG21:AJ21" si="5">SUM(AG19:AG20)</f>
        <v>1017087047.1900001</v>
      </c>
      <c r="AH21" s="4">
        <f t="shared" si="5"/>
        <v>1052577283.88</v>
      </c>
      <c r="AI21" s="4">
        <f t="shared" si="5"/>
        <v>1042610144.66</v>
      </c>
      <c r="AJ21" s="30">
        <f t="shared" si="5"/>
        <v>1114150630.96</v>
      </c>
    </row>
    <row r="22" spans="1:36" x14ac:dyDescent="0.2">
      <c r="A22" s="42">
        <v>18</v>
      </c>
      <c r="B22" s="30" t="s">
        <v>99</v>
      </c>
      <c r="C22" s="4">
        <v>12</v>
      </c>
      <c r="D22" s="4">
        <v>12</v>
      </c>
      <c r="E22" s="4">
        <v>12</v>
      </c>
      <c r="F22" s="4">
        <v>12</v>
      </c>
      <c r="G22" s="4">
        <v>12</v>
      </c>
      <c r="H22" s="18">
        <v>17</v>
      </c>
      <c r="I22" s="4">
        <v>16</v>
      </c>
      <c r="J22" s="4">
        <v>14</v>
      </c>
      <c r="L22" s="4">
        <v>15</v>
      </c>
      <c r="M22" s="18">
        <f t="shared" ref="M22:U22" si="6">SUM(M23:M24)</f>
        <v>30</v>
      </c>
      <c r="N22" s="4">
        <f t="shared" si="6"/>
        <v>30</v>
      </c>
      <c r="O22" s="4">
        <f t="shared" si="6"/>
        <v>30</v>
      </c>
      <c r="P22" s="30">
        <f t="shared" si="6"/>
        <v>30</v>
      </c>
      <c r="Q22" s="4">
        <f t="shared" si="6"/>
        <v>15</v>
      </c>
      <c r="R22" s="4">
        <f t="shared" si="6"/>
        <v>15</v>
      </c>
      <c r="S22" s="4">
        <f t="shared" si="6"/>
        <v>15</v>
      </c>
      <c r="T22" s="4">
        <f t="shared" si="6"/>
        <v>15</v>
      </c>
      <c r="U22" s="30">
        <f t="shared" si="6"/>
        <v>15</v>
      </c>
      <c r="V22" s="4">
        <f>SUM(V23:V23)</f>
        <v>23</v>
      </c>
      <c r="W22" s="4">
        <f>SUM(W23:W23)</f>
        <v>23</v>
      </c>
      <c r="X22" s="4">
        <f>SUM(X23:X23)</f>
        <v>23</v>
      </c>
      <c r="Y22" s="4">
        <f>SUM(Y23:Y23)</f>
        <v>23</v>
      </c>
      <c r="Z22" s="30">
        <f>SUM(Z23:Z23)</f>
        <v>23</v>
      </c>
      <c r="AB22" s="108"/>
      <c r="AE22" s="30"/>
      <c r="AF22" s="19">
        <v>44</v>
      </c>
      <c r="AG22" s="19">
        <v>44</v>
      </c>
      <c r="AH22" s="19">
        <v>44</v>
      </c>
      <c r="AI22" s="19">
        <v>42</v>
      </c>
      <c r="AJ22" s="13">
        <v>38</v>
      </c>
    </row>
    <row r="23" spans="1:36" x14ac:dyDescent="0.2">
      <c r="A23" s="42">
        <v>19</v>
      </c>
      <c r="B23" s="30" t="s">
        <v>83</v>
      </c>
      <c r="H23" s="18"/>
      <c r="M23" s="18">
        <v>8</v>
      </c>
      <c r="N23" s="4">
        <v>8</v>
      </c>
      <c r="O23" s="4">
        <v>8</v>
      </c>
      <c r="P23" s="30">
        <v>8</v>
      </c>
      <c r="Q23" s="34">
        <v>11</v>
      </c>
      <c r="R23" s="34">
        <v>11</v>
      </c>
      <c r="S23" s="34">
        <v>11</v>
      </c>
      <c r="T23" s="34">
        <v>11</v>
      </c>
      <c r="U23" s="40">
        <v>11</v>
      </c>
      <c r="V23" s="34">
        <v>23</v>
      </c>
      <c r="W23" s="34">
        <v>23</v>
      </c>
      <c r="X23" s="34">
        <v>23</v>
      </c>
      <c r="Y23" s="34">
        <v>23</v>
      </c>
      <c r="Z23" s="40">
        <v>23</v>
      </c>
      <c r="AE23" s="30"/>
      <c r="AF23" s="144"/>
      <c r="AG23" s="144"/>
      <c r="AH23" s="144"/>
      <c r="AI23" s="144"/>
      <c r="AJ23" s="145"/>
    </row>
    <row r="24" spans="1:36" x14ac:dyDescent="0.2">
      <c r="A24" s="42">
        <v>20</v>
      </c>
      <c r="B24" s="30" t="s">
        <v>84</v>
      </c>
      <c r="H24" s="18"/>
      <c r="M24" s="18">
        <v>22</v>
      </c>
      <c r="N24" s="4">
        <v>22</v>
      </c>
      <c r="O24" s="4">
        <v>22</v>
      </c>
      <c r="P24" s="30">
        <v>22</v>
      </c>
      <c r="Q24" s="34">
        <v>4</v>
      </c>
      <c r="R24" s="34">
        <v>4</v>
      </c>
      <c r="S24" s="34">
        <v>4</v>
      </c>
      <c r="T24" s="34">
        <v>4</v>
      </c>
      <c r="U24" s="40">
        <v>4</v>
      </c>
      <c r="Z24" s="30"/>
      <c r="AE24" s="30"/>
      <c r="AJ24" s="30"/>
    </row>
    <row r="25" spans="1:36" x14ac:dyDescent="0.2">
      <c r="A25" s="163">
        <v>21</v>
      </c>
      <c r="B25" s="159" t="s">
        <v>72</v>
      </c>
      <c r="C25" s="165">
        <v>2698</v>
      </c>
      <c r="D25" s="165">
        <v>2550</v>
      </c>
      <c r="E25" s="166">
        <v>2269</v>
      </c>
      <c r="F25" s="165">
        <v>2724</v>
      </c>
      <c r="G25" s="165">
        <v>2491</v>
      </c>
      <c r="H25" s="167"/>
      <c r="I25" s="165"/>
      <c r="J25" s="165"/>
      <c r="K25" s="165"/>
      <c r="L25" s="165"/>
      <c r="M25" s="168">
        <v>49600</v>
      </c>
      <c r="N25" s="169">
        <v>33100</v>
      </c>
      <c r="O25" s="169">
        <v>23300</v>
      </c>
      <c r="P25" s="170">
        <v>18500</v>
      </c>
      <c r="Q25" s="165">
        <v>18625</v>
      </c>
      <c r="R25" s="165">
        <v>13989</v>
      </c>
      <c r="S25" s="165">
        <v>12403</v>
      </c>
      <c r="T25" s="165">
        <f>11052+1023</f>
        <v>12075</v>
      </c>
      <c r="U25" s="171">
        <f>11363+1065</f>
        <v>12428</v>
      </c>
      <c r="V25" s="165">
        <v>60266</v>
      </c>
      <c r="W25" s="165">
        <v>58351</v>
      </c>
      <c r="X25" s="165">
        <v>56390</v>
      </c>
      <c r="Y25" s="165">
        <v>59348</v>
      </c>
      <c r="Z25" s="171">
        <v>58691</v>
      </c>
      <c r="AA25" s="158"/>
      <c r="AB25" s="158">
        <v>18583</v>
      </c>
      <c r="AC25" s="158">
        <v>20763</v>
      </c>
      <c r="AD25" s="158">
        <v>21701</v>
      </c>
      <c r="AE25" s="159">
        <v>19251</v>
      </c>
      <c r="AF25" s="158">
        <v>58991.830800000003</v>
      </c>
      <c r="AG25" s="158">
        <v>58223.018980000008</v>
      </c>
      <c r="AH25" s="158">
        <v>47626.729339999998</v>
      </c>
      <c r="AI25" s="158">
        <v>36073.774471999997</v>
      </c>
      <c r="AJ25" s="159">
        <v>30786.353211000012</v>
      </c>
    </row>
    <row r="26" spans="1:36" x14ac:dyDescent="0.2">
      <c r="A26" s="42"/>
      <c r="B26" s="157" t="s">
        <v>37</v>
      </c>
      <c r="H26" s="18"/>
      <c r="L26" s="30"/>
      <c r="P26" s="30"/>
      <c r="U26" s="40"/>
      <c r="V26" s="34"/>
      <c r="W26" s="34"/>
      <c r="X26" s="34"/>
      <c r="Y26" s="34"/>
      <c r="Z26" s="40"/>
      <c r="AE26" s="30"/>
      <c r="AJ26" s="30"/>
    </row>
    <row r="27" spans="1:36" x14ac:dyDescent="0.2">
      <c r="A27" s="42">
        <v>23</v>
      </c>
      <c r="B27" s="31" t="s">
        <v>36</v>
      </c>
      <c r="G27" s="30"/>
      <c r="L27" s="30"/>
      <c r="P27" s="30"/>
      <c r="U27" s="40"/>
      <c r="Z27" s="30"/>
      <c r="AE27" s="30"/>
      <c r="AJ27" s="30"/>
    </row>
    <row r="28" spans="1:36" x14ac:dyDescent="0.2">
      <c r="A28" s="42">
        <v>25</v>
      </c>
      <c r="B28" s="2" t="s">
        <v>48</v>
      </c>
      <c r="C28" s="140"/>
      <c r="D28" s="140"/>
      <c r="E28" s="140"/>
      <c r="F28" s="140"/>
      <c r="G28" s="164"/>
      <c r="H28" s="140"/>
      <c r="I28" s="140"/>
      <c r="J28" s="140"/>
      <c r="K28" s="140"/>
      <c r="L28" s="164"/>
      <c r="M28" s="140">
        <f>M18/M21</f>
        <v>0.20558393551096826</v>
      </c>
      <c r="N28" s="140">
        <f t="shared" ref="N28:AJ28" si="7">N18/N21</f>
        <v>0.2333609878115305</v>
      </c>
      <c r="O28" s="140">
        <f t="shared" si="7"/>
        <v>0.16410209827376002</v>
      </c>
      <c r="P28" s="164">
        <f t="shared" si="7"/>
        <v>0.12187798669085352</v>
      </c>
      <c r="Q28" s="140">
        <f t="shared" si="7"/>
        <v>0.51454772927364556</v>
      </c>
      <c r="R28" s="140">
        <f t="shared" si="7"/>
        <v>0.36365477568762827</v>
      </c>
      <c r="S28" s="140">
        <f t="shared" si="7"/>
        <v>0.3967722050656014</v>
      </c>
      <c r="T28" s="140">
        <f t="shared" si="7"/>
        <v>0.28423156422148343</v>
      </c>
      <c r="U28" s="164">
        <f t="shared" si="7"/>
        <v>0.21414953341046508</v>
      </c>
      <c r="V28" s="140">
        <f t="shared" si="7"/>
        <v>0.19977558700330006</v>
      </c>
      <c r="W28" s="140">
        <f t="shared" si="7"/>
        <v>0.17290234263006829</v>
      </c>
      <c r="X28" s="140">
        <f t="shared" si="7"/>
        <v>0.20520869275585463</v>
      </c>
      <c r="Y28" s="140">
        <f t="shared" si="7"/>
        <v>0.1176489525769646</v>
      </c>
      <c r="Z28" s="164">
        <f t="shared" si="7"/>
        <v>6.2315820834606378E-2</v>
      </c>
      <c r="AA28" s="140">
        <f t="shared" si="7"/>
        <v>0.19253153060483408</v>
      </c>
      <c r="AB28" s="140">
        <f t="shared" si="7"/>
        <v>0.19997243317715574</v>
      </c>
      <c r="AC28" s="140">
        <f t="shared" si="7"/>
        <v>0.25981681348817676</v>
      </c>
      <c r="AD28" s="140">
        <f t="shared" si="7"/>
        <v>0.1998392385436395</v>
      </c>
      <c r="AE28" s="164">
        <f t="shared" si="7"/>
        <v>0.13775979694379956</v>
      </c>
      <c r="AF28" s="140">
        <f t="shared" si="7"/>
        <v>0.34128160843334093</v>
      </c>
      <c r="AG28" s="140">
        <f t="shared" si="7"/>
        <v>0.32453838499069754</v>
      </c>
      <c r="AH28" s="140">
        <f t="shared" si="7"/>
        <v>0.36760792839237533</v>
      </c>
      <c r="AI28" s="140">
        <f t="shared" si="7"/>
        <v>0.29869323821087096</v>
      </c>
      <c r="AJ28" s="164">
        <f t="shared" si="7"/>
        <v>0.23763037513327515</v>
      </c>
    </row>
    <row r="29" spans="1:36" x14ac:dyDescent="0.2">
      <c r="A29" s="42">
        <v>26</v>
      </c>
      <c r="B29" s="2" t="s">
        <v>47</v>
      </c>
      <c r="G29" s="30"/>
      <c r="L29" s="30"/>
      <c r="P29" s="30"/>
      <c r="U29" s="40"/>
      <c r="Z29" s="30"/>
      <c r="AE29" s="30"/>
      <c r="AJ29" s="30"/>
    </row>
    <row r="30" spans="1:36" x14ac:dyDescent="0.2">
      <c r="A30" s="42">
        <v>28</v>
      </c>
      <c r="B30" s="2" t="s">
        <v>114</v>
      </c>
      <c r="G30" s="30"/>
      <c r="L30" s="30"/>
      <c r="M30" s="4">
        <f>M19/M11</f>
        <v>36.71503757082683</v>
      </c>
      <c r="N30" s="4">
        <f t="shared" ref="N30:AE30" si="8">N19/N11</f>
        <v>28.076673521426383</v>
      </c>
      <c r="O30" s="4">
        <f t="shared" si="8"/>
        <v>31.318135842619469</v>
      </c>
      <c r="P30" s="30">
        <f t="shared" si="8"/>
        <v>40.458117735961395</v>
      </c>
      <c r="Q30" s="4">
        <f t="shared" si="8"/>
        <v>13.649346351482935</v>
      </c>
      <c r="R30" s="4">
        <f t="shared" si="8"/>
        <v>21.252386202770026</v>
      </c>
      <c r="S30" s="4">
        <f t="shared" si="8"/>
        <v>21.043757564236788</v>
      </c>
      <c r="T30" s="4">
        <f t="shared" si="8"/>
        <v>22.694881247411846</v>
      </c>
      <c r="U30" s="30">
        <f t="shared" si="8"/>
        <v>26.70249934489955</v>
      </c>
      <c r="V30" s="4">
        <f t="shared" si="8"/>
        <v>19.358692933682814</v>
      </c>
      <c r="W30" s="4">
        <f t="shared" si="8"/>
        <v>22.319494663977032</v>
      </c>
      <c r="X30" s="4">
        <f t="shared" si="8"/>
        <v>76.241894434092401</v>
      </c>
      <c r="Y30" s="4">
        <f t="shared" si="8"/>
        <v>27.530892751728146</v>
      </c>
      <c r="Z30" s="30">
        <f t="shared" si="8"/>
        <v>28.950841146361107</v>
      </c>
      <c r="AA30" s="4">
        <f t="shared" si="8"/>
        <v>22.507993461185439</v>
      </c>
      <c r="AB30" s="4">
        <f t="shared" si="8"/>
        <v>27.684277959675235</v>
      </c>
      <c r="AC30" s="4">
        <f t="shared" si="8"/>
        <v>32.371601294690322</v>
      </c>
      <c r="AD30" s="4">
        <f t="shared" si="8"/>
        <v>30.62935466653121</v>
      </c>
      <c r="AE30" s="30">
        <f t="shared" si="8"/>
        <v>35.996981667691053</v>
      </c>
      <c r="AF30" s="4">
        <f>AF18/AF9</f>
        <v>31.702839014136149</v>
      </c>
      <c r="AG30" s="4">
        <f>AG18/AG9</f>
        <v>53.915102930473054</v>
      </c>
      <c r="AH30" s="4">
        <f>AH18/AH9</f>
        <v>59.411144678948432</v>
      </c>
      <c r="AI30" s="4">
        <f>AI18/AI9</f>
        <v>48.132627110261247</v>
      </c>
      <c r="AJ30" s="30">
        <f>AJ18/AJ9</f>
        <v>39.967307169118619</v>
      </c>
    </row>
    <row r="31" spans="1:36" x14ac:dyDescent="0.2">
      <c r="A31" s="42">
        <v>29</v>
      </c>
      <c r="B31" s="2" t="s">
        <v>42</v>
      </c>
      <c r="G31" s="30"/>
      <c r="L31" s="30"/>
      <c r="M31" s="4">
        <f>M21/M7</f>
        <v>248.51691811155212</v>
      </c>
      <c r="N31" s="4">
        <f t="shared" ref="N31:AD31" si="9">N21/N7</f>
        <v>203.55743000000001</v>
      </c>
      <c r="O31" s="4">
        <f t="shared" si="9"/>
        <v>211.11503951890035</v>
      </c>
      <c r="P31" s="30">
        <f t="shared" si="9"/>
        <v>237.34312977099236</v>
      </c>
      <c r="Q31" s="4">
        <f t="shared" si="9"/>
        <v>98.12954188555095</v>
      </c>
      <c r="R31" s="4">
        <f t="shared" si="9"/>
        <v>157.57174205772898</v>
      </c>
      <c r="S31" s="4">
        <f t="shared" si="9"/>
        <v>150.70353964152059</v>
      </c>
      <c r="T31" s="4">
        <f t="shared" si="9"/>
        <v>168.20204649535759</v>
      </c>
      <c r="U31" s="30">
        <f t="shared" si="9"/>
        <v>182.47344190632356</v>
      </c>
      <c r="V31" s="4">
        <f t="shared" si="9"/>
        <v>242.25336380144532</v>
      </c>
      <c r="W31" s="4">
        <f t="shared" si="9"/>
        <v>272.08975744419047</v>
      </c>
      <c r="X31" s="4">
        <f t="shared" si="9"/>
        <v>335.12843083502025</v>
      </c>
      <c r="Y31" s="4">
        <f t="shared" si="9"/>
        <v>357.90160577246593</v>
      </c>
      <c r="Z31" s="30">
        <f t="shared" si="9"/>
        <v>376.3609349026944</v>
      </c>
      <c r="AA31" s="4">
        <f t="shared" si="9"/>
        <v>192.61479102243027</v>
      </c>
      <c r="AB31" s="4">
        <f t="shared" si="9"/>
        <v>229.75885450245761</v>
      </c>
      <c r="AC31" s="4">
        <f t="shared" si="9"/>
        <v>269.76333607669312</v>
      </c>
      <c r="AD31" s="4">
        <f t="shared" si="9"/>
        <v>264.45420693538409</v>
      </c>
      <c r="AE31" s="30">
        <f>AE21/AE7</f>
        <v>311.93840302890533</v>
      </c>
      <c r="AF31" s="4">
        <f t="shared" ref="AF31:AJ31" si="10">AF21/AF7</f>
        <v>137.75300724209458</v>
      </c>
      <c r="AG31" s="4">
        <f t="shared" si="10"/>
        <v>253.62596667984147</v>
      </c>
      <c r="AH31" s="4">
        <f t="shared" si="10"/>
        <v>247.32486605610302</v>
      </c>
      <c r="AI31" s="4">
        <f t="shared" si="10"/>
        <v>244.1233699983118</v>
      </c>
      <c r="AJ31" s="30">
        <f t="shared" si="10"/>
        <v>250.97399908589338</v>
      </c>
    </row>
    <row r="32" spans="1:36" x14ac:dyDescent="0.2">
      <c r="A32" s="42">
        <v>30</v>
      </c>
      <c r="B32" s="2" t="s">
        <v>43</v>
      </c>
      <c r="G32" s="30"/>
      <c r="L32" s="30"/>
      <c r="M32" s="4">
        <f>M18/M7</f>
        <v>51.091086066429916</v>
      </c>
      <c r="N32" s="4">
        <f t="shared" ref="N32:AJ32" si="11">N18/N7</f>
        <v>47.502362941176472</v>
      </c>
      <c r="O32" s="4">
        <f t="shared" si="11"/>
        <v>34.644420962199312</v>
      </c>
      <c r="P32" s="30">
        <f t="shared" si="11"/>
        <v>28.926902811394527</v>
      </c>
      <c r="Q32" s="4">
        <f t="shared" si="11"/>
        <v>50.492332951873337</v>
      </c>
      <c r="R32" s="4">
        <f t="shared" si="11"/>
        <v>57.301716512712254</v>
      </c>
      <c r="S32" s="4">
        <f t="shared" si="11"/>
        <v>59.794975734757401</v>
      </c>
      <c r="T32" s="4">
        <f t="shared" si="11"/>
        <v>47.808330780630165</v>
      </c>
      <c r="U32" s="30">
        <f t="shared" si="11"/>
        <v>39.076602444040795</v>
      </c>
      <c r="V32" s="4">
        <f t="shared" si="11"/>
        <v>48.396307956957742</v>
      </c>
      <c r="W32" s="4">
        <f t="shared" si="11"/>
        <v>47.044956467747596</v>
      </c>
      <c r="X32" s="4">
        <f t="shared" si="11"/>
        <v>68.771267196975344</v>
      </c>
      <c r="Y32" s="4">
        <f t="shared" si="11"/>
        <v>42.106749044744326</v>
      </c>
      <c r="Z32" s="30">
        <f t="shared" si="11"/>
        <v>23.453240588541256</v>
      </c>
      <c r="AA32" s="4">
        <f t="shared" si="11"/>
        <v>37.084420532678756</v>
      </c>
      <c r="AB32" s="4">
        <f t="shared" si="11"/>
        <v>45.945437178852558</v>
      </c>
      <c r="AC32" s="4">
        <f t="shared" si="11"/>
        <v>70.08905037538652</v>
      </c>
      <c r="AD32" s="4">
        <f t="shared" si="11"/>
        <v>52.848327343629222</v>
      </c>
      <c r="AE32" s="30">
        <f t="shared" si="11"/>
        <v>42.972571060235104</v>
      </c>
      <c r="AF32" s="4">
        <f t="shared" si="11"/>
        <v>47.01256787811171</v>
      </c>
      <c r="AG32" s="4">
        <f t="shared" si="11"/>
        <v>82.311361617980211</v>
      </c>
      <c r="AH32" s="4">
        <f t="shared" si="11"/>
        <v>90.918581650805734</v>
      </c>
      <c r="AI32" s="4">
        <f t="shared" si="11"/>
        <v>72.917999907746335</v>
      </c>
      <c r="AJ32" s="30">
        <f t="shared" si="11"/>
        <v>59.6390455514791</v>
      </c>
    </row>
    <row r="33" spans="1:36" x14ac:dyDescent="0.2">
      <c r="A33" s="42">
        <v>31</v>
      </c>
      <c r="B33" s="2" t="s">
        <v>44</v>
      </c>
      <c r="G33" s="30"/>
      <c r="L33" s="30"/>
      <c r="M33" s="4">
        <f>M17/M7</f>
        <v>196.9587595571339</v>
      </c>
      <c r="N33" s="4">
        <f t="shared" ref="N33:AE33" si="12">N17/N7</f>
        <v>162.06331588235295</v>
      </c>
      <c r="O33" s="4">
        <f t="shared" si="12"/>
        <v>202.93282512409317</v>
      </c>
      <c r="P33" s="30">
        <f t="shared" si="12"/>
        <v>244.36787749022528</v>
      </c>
      <c r="Q33" s="4">
        <f t="shared" si="12"/>
        <v>46.083776754673778</v>
      </c>
      <c r="R33" s="4">
        <f t="shared" si="12"/>
        <v>95.050516068401393</v>
      </c>
      <c r="S33" s="4">
        <f t="shared" si="12"/>
        <v>90.011004011455199</v>
      </c>
      <c r="T33" s="4">
        <f t="shared" si="12"/>
        <v>118.55565904423926</v>
      </c>
      <c r="U33" s="30">
        <f t="shared" si="12"/>
        <v>141.93927710673066</v>
      </c>
      <c r="V33" s="4">
        <f t="shared" si="12"/>
        <v>189.14772087512989</v>
      </c>
      <c r="W33" s="4">
        <f t="shared" si="12"/>
        <v>231.16728880898265</v>
      </c>
      <c r="X33" s="4">
        <f t="shared" si="12"/>
        <v>271.77065305433462</v>
      </c>
      <c r="Y33" s="4">
        <f t="shared" si="12"/>
        <v>302.88237679184107</v>
      </c>
      <c r="Z33" s="30">
        <f t="shared" si="12"/>
        <v>353.01882639020721</v>
      </c>
      <c r="AA33" s="4">
        <f t="shared" si="12"/>
        <v>153.25938567750737</v>
      </c>
      <c r="AB33" s="4">
        <f t="shared" si="12"/>
        <v>181.94771186244259</v>
      </c>
      <c r="AC33" s="4">
        <f t="shared" si="12"/>
        <v>197.13542169568751</v>
      </c>
      <c r="AD33" s="4">
        <f t="shared" si="12"/>
        <v>209.03088570404526</v>
      </c>
      <c r="AE33" s="30">
        <f t="shared" si="12"/>
        <v>266.12675231046552</v>
      </c>
      <c r="AF33" s="4">
        <f>AF16/AF7</f>
        <v>0</v>
      </c>
      <c r="AG33" s="4">
        <f>AG16/AG7</f>
        <v>26.881552846065706</v>
      </c>
      <c r="AH33" s="4">
        <f>AH16/AH7</f>
        <v>3.4893155278770465</v>
      </c>
      <c r="AI33" s="4">
        <f>AI16/AI7</f>
        <v>4.7744784214227058</v>
      </c>
      <c r="AJ33" s="30">
        <f>AJ16/AJ7</f>
        <v>0</v>
      </c>
    </row>
    <row r="34" spans="1:36" x14ac:dyDescent="0.2">
      <c r="A34" s="42">
        <v>32</v>
      </c>
      <c r="B34" s="2" t="s">
        <v>113</v>
      </c>
      <c r="C34" s="4">
        <f>(C25*1000)/C7</f>
        <v>20.729608457803185</v>
      </c>
      <c r="D34" s="4">
        <f t="shared" ref="D34:AJ34" si="13">(D25*1000)/D7</f>
        <v>21.80176637056163</v>
      </c>
      <c r="E34" s="4">
        <f t="shared" si="13"/>
        <v>19.614962352066531</v>
      </c>
      <c r="F34" s="4">
        <f t="shared" si="13"/>
        <v>21.481633361197421</v>
      </c>
      <c r="G34" s="30">
        <f t="shared" si="13"/>
        <v>18.681706027493831</v>
      </c>
      <c r="L34" s="30"/>
      <c r="M34" s="4">
        <f t="shared" si="13"/>
        <v>10.361395445999582</v>
      </c>
      <c r="N34" s="4">
        <f t="shared" si="13"/>
        <v>6.4901960784313726</v>
      </c>
      <c r="O34" s="4">
        <f t="shared" si="13"/>
        <v>4.4482626956853757</v>
      </c>
      <c r="P34" s="30">
        <f t="shared" si="13"/>
        <v>3.4444237572146714</v>
      </c>
      <c r="Q34" s="4">
        <f t="shared" si="13"/>
        <v>7.6989553842327068</v>
      </c>
      <c r="R34" s="4">
        <f t="shared" si="13"/>
        <v>6.6632339905431524</v>
      </c>
      <c r="S34" s="4">
        <f t="shared" si="13"/>
        <v>5.6481153635236208</v>
      </c>
      <c r="T34" s="4">
        <f t="shared" si="13"/>
        <v>5.7704631615065427</v>
      </c>
      <c r="U34" s="30">
        <f t="shared" si="13"/>
        <v>5.4899036660611928</v>
      </c>
      <c r="V34" s="4">
        <f t="shared" si="13"/>
        <v>19.029203098047475</v>
      </c>
      <c r="W34" s="4">
        <f t="shared" si="13"/>
        <v>20.667592530608587</v>
      </c>
      <c r="X34" s="4">
        <f t="shared" si="13"/>
        <v>24.596238289089328</v>
      </c>
      <c r="Y34" s="4">
        <f t="shared" si="13"/>
        <v>25.436910264899954</v>
      </c>
      <c r="Z34" s="30">
        <f t="shared" si="13"/>
        <v>22.646382891371754</v>
      </c>
      <c r="AA34" s="4">
        <f t="shared" si="13"/>
        <v>0</v>
      </c>
      <c r="AB34" s="4">
        <f t="shared" si="13"/>
        <v>12.95605552495625</v>
      </c>
      <c r="AC34" s="4">
        <f t="shared" si="13"/>
        <v>15.481478222810109</v>
      </c>
      <c r="AD34" s="4">
        <f t="shared" si="13"/>
        <v>14.7791437072693</v>
      </c>
      <c r="AE34" s="30">
        <f t="shared" si="13"/>
        <v>12.094517039189855</v>
      </c>
      <c r="AF34" s="4">
        <f t="shared" si="13"/>
        <v>13.331182904073829</v>
      </c>
      <c r="AG34" s="4">
        <f t="shared" si="13"/>
        <v>14.518786285420751</v>
      </c>
      <c r="AH34" s="4">
        <f t="shared" si="13"/>
        <v>11.190887961485474</v>
      </c>
      <c r="AI34" s="4">
        <f t="shared" si="13"/>
        <v>8.4465429746374987</v>
      </c>
      <c r="AJ34" s="30">
        <f t="shared" si="13"/>
        <v>6.9349457496406561</v>
      </c>
    </row>
    <row r="35" spans="1:36" x14ac:dyDescent="0.2">
      <c r="A35" s="42">
        <v>33</v>
      </c>
      <c r="B35" s="2" t="s">
        <v>53</v>
      </c>
      <c r="C35" s="4">
        <f>(C25*100000)/C11</f>
        <v>281.45945804970921</v>
      </c>
      <c r="D35" s="4">
        <f t="shared" ref="D35:AE35" si="14">(D25*100000)/D11</f>
        <v>289.5138098087279</v>
      </c>
      <c r="E35" s="4">
        <f t="shared" si="14"/>
        <v>206.01726586305708</v>
      </c>
      <c r="F35" s="4">
        <f t="shared" si="14"/>
        <v>316.13103886879867</v>
      </c>
      <c r="G35" s="30">
        <f t="shared" si="14"/>
        <v>226.40123825390202</v>
      </c>
      <c r="L35" s="30"/>
      <c r="M35" s="4">
        <f>(M25*100000)/M11</f>
        <v>153.07570445377465</v>
      </c>
      <c r="N35" s="4">
        <f>(N25*100000)/N11</f>
        <v>89.519265587190532</v>
      </c>
      <c r="O35" s="4">
        <f t="shared" si="14"/>
        <v>65.988333036149825</v>
      </c>
      <c r="P35" s="30">
        <f t="shared" si="14"/>
        <v>58.714529481596728</v>
      </c>
      <c r="Q35" s="4">
        <f t="shared" si="14"/>
        <v>113.23033017676755</v>
      </c>
      <c r="R35" s="4">
        <f t="shared" si="14"/>
        <v>92.387034907162217</v>
      </c>
      <c r="S35" s="4">
        <f t="shared" si="14"/>
        <v>81.912673925423093</v>
      </c>
      <c r="T35" s="4">
        <f t="shared" si="14"/>
        <v>81.167012314971416</v>
      </c>
      <c r="U35" s="30">
        <f t="shared" si="14"/>
        <v>81.567231590658423</v>
      </c>
      <c r="V35" s="4">
        <f t="shared" si="14"/>
        <v>152.06414217212574</v>
      </c>
      <c r="W35" s="4">
        <f t="shared" si="14"/>
        <v>169.53604778702012</v>
      </c>
      <c r="X35" s="4">
        <f t="shared" si="14"/>
        <v>559.56571587795258</v>
      </c>
      <c r="Y35" s="4">
        <f t="shared" si="14"/>
        <v>195.6685404992304</v>
      </c>
      <c r="Z35" s="30">
        <f t="shared" si="14"/>
        <v>174.20294531824428</v>
      </c>
      <c r="AA35" s="4">
        <f t="shared" si="14"/>
        <v>0</v>
      </c>
      <c r="AB35" s="4">
        <f t="shared" si="14"/>
        <v>156.11108576885698</v>
      </c>
      <c r="AC35" s="4">
        <f t="shared" si="14"/>
        <v>185.77774421456627</v>
      </c>
      <c r="AD35" s="4">
        <f>(AD25*100000)/AD11</f>
        <v>171.17354249092725</v>
      </c>
      <c r="AE35" s="30">
        <f t="shared" si="14"/>
        <v>139.56797364861538</v>
      </c>
      <c r="AJ35" s="30"/>
    </row>
    <row r="36" spans="1:36" x14ac:dyDescent="0.2">
      <c r="A36" s="42">
        <v>34</v>
      </c>
      <c r="B36" s="2" t="s">
        <v>76</v>
      </c>
      <c r="C36" s="4">
        <f>(C25*1000)/C5</f>
        <v>19.453737886479004</v>
      </c>
      <c r="D36" s="4">
        <f t="shared" ref="D36:AD36" si="15">D25*1000/D5</f>
        <v>16.521964493974341</v>
      </c>
      <c r="E36" s="4">
        <f t="shared" si="15"/>
        <v>10.277990424119984</v>
      </c>
      <c r="F36" s="4">
        <f t="shared" si="15"/>
        <v>19.386520532346452</v>
      </c>
      <c r="G36" s="30">
        <f>G25*1000/G5</f>
        <v>18.713423933049363</v>
      </c>
      <c r="M36" s="4">
        <f t="shared" si="15"/>
        <v>30.691416984357897</v>
      </c>
      <c r="N36" s="4">
        <f t="shared" si="15"/>
        <v>20.482673267326732</v>
      </c>
      <c r="O36" s="4">
        <f t="shared" si="15"/>
        <v>13.227100227926211</v>
      </c>
      <c r="P36" s="30">
        <f t="shared" si="15"/>
        <v>11.212121212121213</v>
      </c>
      <c r="Q36" s="4">
        <f t="shared" si="15"/>
        <v>26.410116371466518</v>
      </c>
      <c r="R36" s="4">
        <f t="shared" si="15"/>
        <v>20.220940918585207</v>
      </c>
      <c r="S36" s="4">
        <f t="shared" si="15"/>
        <v>17.728154103686901</v>
      </c>
      <c r="T36" s="4">
        <f t="shared" si="15"/>
        <v>16.93983153931655</v>
      </c>
      <c r="U36" s="30">
        <f t="shared" si="15"/>
        <v>18.206823064077646</v>
      </c>
      <c r="V36" s="4">
        <f t="shared" si="15"/>
        <v>45.83140043347656</v>
      </c>
      <c r="W36" s="4">
        <f t="shared" si="15"/>
        <v>42.55544146046897</v>
      </c>
      <c r="X36" s="4">
        <f t="shared" si="15"/>
        <v>42.528511977217569</v>
      </c>
      <c r="Y36" s="4">
        <f t="shared" si="15"/>
        <v>49.294405913866854</v>
      </c>
      <c r="Z36" s="30">
        <f t="shared" si="15"/>
        <v>37.592554636058516</v>
      </c>
      <c r="AA36" s="4">
        <f t="shared" si="15"/>
        <v>0</v>
      </c>
      <c r="AB36" s="4">
        <f t="shared" si="15"/>
        <v>27.83486315486747</v>
      </c>
      <c r="AC36" s="4">
        <f t="shared" si="15"/>
        <v>30.571183313726038</v>
      </c>
      <c r="AD36" s="4">
        <f t="shared" si="15"/>
        <v>32.531428108856836</v>
      </c>
      <c r="AE36" s="30">
        <f>AE25*1000/AE5</f>
        <v>29.286303241254881</v>
      </c>
      <c r="AJ36" s="30"/>
    </row>
  </sheetData>
  <mergeCells count="16">
    <mergeCell ref="AK11:AO11"/>
    <mergeCell ref="AA3:AE3"/>
    <mergeCell ref="M3:P3"/>
    <mergeCell ref="A3:A4"/>
    <mergeCell ref="B3:B4"/>
    <mergeCell ref="C3:G3"/>
    <mergeCell ref="AK4:AO4"/>
    <mergeCell ref="Q3:U3"/>
    <mergeCell ref="AF3:AJ3"/>
    <mergeCell ref="AK5:AO5"/>
    <mergeCell ref="AK6:AO6"/>
    <mergeCell ref="AK7:AO7"/>
    <mergeCell ref="AK9:AO9"/>
    <mergeCell ref="AK10:AO10"/>
    <mergeCell ref="V3:Z3"/>
    <mergeCell ref="H3:L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5EBF8-5CB0-4134-9C79-4A7255F06B7B}">
  <sheetPr>
    <tabColor theme="7" tint="0.79998168889431442"/>
  </sheetPr>
  <dimension ref="A2:G32"/>
  <sheetViews>
    <sheetView workbookViewId="0">
      <selection activeCell="P35" sqref="P35"/>
    </sheetView>
  </sheetViews>
  <sheetFormatPr baseColWidth="10" defaultColWidth="10.85546875" defaultRowHeight="12" x14ac:dyDescent="0.2"/>
  <cols>
    <col min="1" max="1" width="2.5703125" style="1" customWidth="1"/>
    <col min="2" max="2" width="28.28515625" style="1" customWidth="1"/>
    <col min="3" max="3" width="8.28515625" style="1" customWidth="1"/>
    <col min="4" max="7" width="9.28515625" style="1" customWidth="1"/>
    <col min="8" max="8" width="20.85546875" style="1" customWidth="1"/>
    <col min="9" max="16384" width="10.85546875" style="1"/>
  </cols>
  <sheetData>
    <row r="2" spans="1:7" x14ac:dyDescent="0.2">
      <c r="A2" s="374" t="s">
        <v>0</v>
      </c>
      <c r="B2" s="399" t="s">
        <v>1</v>
      </c>
      <c r="C2" s="401" t="s">
        <v>107</v>
      </c>
      <c r="D2" s="402"/>
      <c r="E2" s="402"/>
      <c r="F2" s="402"/>
      <c r="G2" s="402"/>
    </row>
    <row r="3" spans="1:7" ht="12.75" thickBot="1" x14ac:dyDescent="0.25">
      <c r="A3" s="375"/>
      <c r="B3" s="400"/>
      <c r="C3" s="124">
        <v>2019</v>
      </c>
      <c r="D3" s="125">
        <v>2020</v>
      </c>
      <c r="E3" s="125">
        <v>2021</v>
      </c>
      <c r="F3" s="125">
        <v>2022</v>
      </c>
      <c r="G3" s="110">
        <v>2023</v>
      </c>
    </row>
    <row r="4" spans="1:7" x14ac:dyDescent="0.2">
      <c r="A4" s="2">
        <v>1</v>
      </c>
      <c r="B4" s="111" t="s">
        <v>10</v>
      </c>
      <c r="C4" s="119">
        <v>541434</v>
      </c>
      <c r="D4" s="119">
        <v>591237</v>
      </c>
      <c r="E4" s="119">
        <v>626898</v>
      </c>
      <c r="F4" s="119">
        <v>628367</v>
      </c>
      <c r="G4" s="120">
        <v>212699</v>
      </c>
    </row>
    <row r="5" spans="1:7" x14ac:dyDescent="0.2">
      <c r="A5" s="2">
        <v>2</v>
      </c>
      <c r="B5" s="111" t="s">
        <v>11</v>
      </c>
      <c r="C5" s="119">
        <v>5212598</v>
      </c>
      <c r="D5" s="119">
        <v>5699013</v>
      </c>
      <c r="E5" s="119">
        <v>6273988</v>
      </c>
      <c r="F5" s="119">
        <v>6006411</v>
      </c>
      <c r="G5" s="120">
        <v>2644003</v>
      </c>
    </row>
    <row r="6" spans="1:7" x14ac:dyDescent="0.2">
      <c r="A6" s="2">
        <v>3</v>
      </c>
      <c r="B6" s="111" t="s">
        <v>12</v>
      </c>
      <c r="C6" s="119">
        <v>27666</v>
      </c>
      <c r="D6" s="119">
        <v>11615</v>
      </c>
      <c r="E6" s="119">
        <v>16261</v>
      </c>
      <c r="F6" s="119">
        <v>17733</v>
      </c>
      <c r="G6" s="120">
        <v>6060</v>
      </c>
    </row>
    <row r="7" spans="1:7" x14ac:dyDescent="0.2">
      <c r="A7" s="2">
        <v>4</v>
      </c>
      <c r="B7" s="112" t="s">
        <v>13</v>
      </c>
      <c r="C7" s="119">
        <v>1957618</v>
      </c>
      <c r="D7" s="119">
        <v>1065347</v>
      </c>
      <c r="E7" s="119">
        <v>1342308</v>
      </c>
      <c r="F7" s="119">
        <v>1493166</v>
      </c>
      <c r="G7" s="120">
        <v>942101</v>
      </c>
    </row>
    <row r="8" spans="1:7" x14ac:dyDescent="0.2">
      <c r="A8" s="2">
        <v>5</v>
      </c>
      <c r="B8" s="113" t="s">
        <v>14</v>
      </c>
      <c r="C8" s="119"/>
      <c r="D8" s="119"/>
      <c r="E8" s="119"/>
      <c r="F8" s="119"/>
      <c r="G8" s="120"/>
    </row>
    <row r="9" spans="1:7" x14ac:dyDescent="0.2">
      <c r="A9" s="2">
        <v>6</v>
      </c>
      <c r="B9" s="113" t="s">
        <v>15</v>
      </c>
      <c r="C9" s="119">
        <v>622649.1</v>
      </c>
      <c r="D9" s="119">
        <v>679922.54999999993</v>
      </c>
      <c r="E9" s="119">
        <v>720932.7</v>
      </c>
      <c r="F9" s="119">
        <v>722622.04999999993</v>
      </c>
      <c r="G9" s="120">
        <v>244603.84999999998</v>
      </c>
    </row>
    <row r="10" spans="1:7" x14ac:dyDescent="0.2">
      <c r="A10" s="2">
        <v>7</v>
      </c>
      <c r="B10" s="111" t="s">
        <v>16</v>
      </c>
      <c r="C10" s="119"/>
      <c r="D10" s="119">
        <v>20453977</v>
      </c>
      <c r="E10" s="119">
        <v>21369990</v>
      </c>
      <c r="F10" s="119">
        <v>19383248</v>
      </c>
      <c r="G10" s="120">
        <v>21157375</v>
      </c>
    </row>
    <row r="11" spans="1:7" x14ac:dyDescent="0.2">
      <c r="A11" s="2">
        <v>8</v>
      </c>
      <c r="B11" s="114" t="s">
        <v>17</v>
      </c>
      <c r="C11" s="119">
        <v>0</v>
      </c>
      <c r="D11" s="119">
        <v>0</v>
      </c>
      <c r="E11" s="119">
        <v>0</v>
      </c>
      <c r="F11" s="119">
        <v>0</v>
      </c>
      <c r="G11" s="120">
        <v>0</v>
      </c>
    </row>
    <row r="12" spans="1:7" x14ac:dyDescent="0.2">
      <c r="A12" s="2">
        <v>9</v>
      </c>
      <c r="B12" s="114" t="s">
        <v>18</v>
      </c>
      <c r="C12" s="119">
        <v>0</v>
      </c>
      <c r="D12" s="119"/>
      <c r="E12" s="119">
        <v>5124293</v>
      </c>
      <c r="F12" s="119">
        <v>5124293</v>
      </c>
      <c r="G12" s="120">
        <v>0</v>
      </c>
    </row>
    <row r="13" spans="1:7" x14ac:dyDescent="0.2">
      <c r="A13" s="2">
        <v>10</v>
      </c>
      <c r="B13" s="114" t="s">
        <v>29</v>
      </c>
      <c r="C13" s="119">
        <v>0</v>
      </c>
      <c r="D13" s="119">
        <v>20453977</v>
      </c>
      <c r="E13" s="119">
        <v>26494283</v>
      </c>
      <c r="F13" s="119">
        <v>24507541</v>
      </c>
      <c r="G13" s="120">
        <v>21157375</v>
      </c>
    </row>
    <row r="14" spans="1:7" x14ac:dyDescent="0.2">
      <c r="A14" s="2">
        <v>11</v>
      </c>
      <c r="B14" s="115" t="s">
        <v>19</v>
      </c>
      <c r="C14" s="119">
        <v>0</v>
      </c>
      <c r="D14" s="119">
        <v>0</v>
      </c>
      <c r="E14" s="119">
        <v>0</v>
      </c>
      <c r="F14" s="119">
        <v>0</v>
      </c>
      <c r="G14" s="120">
        <v>0</v>
      </c>
    </row>
    <row r="15" spans="1:7" x14ac:dyDescent="0.2">
      <c r="A15" s="2">
        <v>12</v>
      </c>
      <c r="B15" s="114" t="s">
        <v>20</v>
      </c>
      <c r="C15" s="119">
        <v>0</v>
      </c>
      <c r="D15" s="119">
        <v>0</v>
      </c>
      <c r="E15" s="119">
        <v>0</v>
      </c>
      <c r="F15" s="119">
        <v>0</v>
      </c>
      <c r="G15" s="120">
        <v>0</v>
      </c>
    </row>
    <row r="16" spans="1:7" x14ac:dyDescent="0.2">
      <c r="A16" s="2">
        <v>13</v>
      </c>
      <c r="B16" s="116" t="s">
        <v>21</v>
      </c>
      <c r="C16" s="119">
        <v>0</v>
      </c>
      <c r="D16" s="119">
        <v>0</v>
      </c>
      <c r="E16" s="119">
        <v>0</v>
      </c>
      <c r="F16" s="119">
        <v>0</v>
      </c>
      <c r="G16" s="120">
        <v>0</v>
      </c>
    </row>
    <row r="17" spans="1:7" x14ac:dyDescent="0.2">
      <c r="A17" s="2">
        <v>14</v>
      </c>
      <c r="B17" s="116" t="s">
        <v>22</v>
      </c>
      <c r="C17" s="119">
        <v>0</v>
      </c>
      <c r="D17" s="119">
        <v>0</v>
      </c>
      <c r="E17" s="119">
        <v>0</v>
      </c>
      <c r="F17" s="119">
        <v>0</v>
      </c>
      <c r="G17" s="120">
        <v>0</v>
      </c>
    </row>
    <row r="18" spans="1:7" x14ac:dyDescent="0.2">
      <c r="A18" s="2">
        <v>15</v>
      </c>
      <c r="B18" s="117" t="s">
        <v>37</v>
      </c>
      <c r="C18" s="22"/>
      <c r="G18" s="32"/>
    </row>
    <row r="19" spans="1:7" x14ac:dyDescent="0.2">
      <c r="A19" s="2">
        <v>16</v>
      </c>
      <c r="B19" s="114" t="s">
        <v>36</v>
      </c>
      <c r="C19" s="121">
        <f>C7/C5</f>
        <v>0.37555514543803303</v>
      </c>
      <c r="D19" s="121">
        <f t="shared" ref="D19:G19" si="0">D7/D5</f>
        <v>0.18693535178810788</v>
      </c>
      <c r="E19" s="121">
        <f t="shared" si="0"/>
        <v>0.21394812996135792</v>
      </c>
      <c r="F19" s="121">
        <f t="shared" si="0"/>
        <v>0.24859537584091398</v>
      </c>
      <c r="G19" s="122">
        <f t="shared" si="0"/>
        <v>0.35631616151721462</v>
      </c>
    </row>
    <row r="20" spans="1:7" x14ac:dyDescent="0.2">
      <c r="A20" s="2">
        <v>17</v>
      </c>
      <c r="B20" s="114" t="s">
        <v>39</v>
      </c>
      <c r="C20" s="22"/>
      <c r="G20" s="32"/>
    </row>
    <row r="21" spans="1:7" x14ac:dyDescent="0.2">
      <c r="A21" s="2">
        <v>18</v>
      </c>
      <c r="B21" s="114" t="s">
        <v>48</v>
      </c>
      <c r="C21" s="22"/>
      <c r="G21" s="32"/>
    </row>
    <row r="22" spans="1:7" x14ac:dyDescent="0.2">
      <c r="A22" s="2">
        <v>19</v>
      </c>
      <c r="B22" s="114" t="s">
        <v>47</v>
      </c>
      <c r="C22" s="22"/>
      <c r="G22" s="32"/>
    </row>
    <row r="23" spans="1:7" x14ac:dyDescent="0.2">
      <c r="A23" s="2">
        <v>20</v>
      </c>
      <c r="B23" s="114" t="s">
        <v>40</v>
      </c>
      <c r="C23" s="22"/>
      <c r="G23" s="32"/>
    </row>
    <row r="24" spans="1:7" x14ac:dyDescent="0.2">
      <c r="A24" s="2">
        <v>21</v>
      </c>
      <c r="B24" s="114" t="s">
        <v>41</v>
      </c>
      <c r="C24" s="22"/>
      <c r="G24" s="32"/>
    </row>
    <row r="25" spans="1:7" x14ac:dyDescent="0.2">
      <c r="A25" s="2">
        <v>22</v>
      </c>
      <c r="B25" s="114" t="s">
        <v>49</v>
      </c>
      <c r="C25" s="22"/>
      <c r="G25" s="32"/>
    </row>
    <row r="26" spans="1:7" x14ac:dyDescent="0.2">
      <c r="A26" s="2">
        <v>23</v>
      </c>
      <c r="B26" s="114" t="s">
        <v>42</v>
      </c>
      <c r="C26" s="22"/>
      <c r="G26" s="32"/>
    </row>
    <row r="27" spans="1:7" x14ac:dyDescent="0.2">
      <c r="A27" s="2">
        <v>24</v>
      </c>
      <c r="B27" s="114" t="s">
        <v>43</v>
      </c>
      <c r="C27" s="22"/>
      <c r="G27" s="32"/>
    </row>
    <row r="28" spans="1:7" x14ac:dyDescent="0.2">
      <c r="A28" s="2">
        <v>25</v>
      </c>
      <c r="B28" s="118" t="s">
        <v>44</v>
      </c>
      <c r="C28" s="123"/>
      <c r="D28" s="126">
        <f t="shared" ref="D28:G28" si="1">D13/D6</f>
        <v>1760.9967283684891</v>
      </c>
      <c r="E28" s="126">
        <f t="shared" si="1"/>
        <v>1629.3144948035176</v>
      </c>
      <c r="F28" s="126">
        <f t="shared" si="1"/>
        <v>1382.0301697400328</v>
      </c>
      <c r="G28" s="127">
        <f t="shared" si="1"/>
        <v>3491.3160066006599</v>
      </c>
    </row>
    <row r="29" spans="1:7" x14ac:dyDescent="0.2">
      <c r="A29" s="2"/>
      <c r="B29" s="20"/>
      <c r="C29" s="22"/>
    </row>
    <row r="30" spans="1:7" x14ac:dyDescent="0.2">
      <c r="A30" s="2"/>
      <c r="B30" s="20"/>
      <c r="C30" s="22"/>
    </row>
    <row r="31" spans="1:7" x14ac:dyDescent="0.2">
      <c r="A31" s="2"/>
      <c r="B31" s="20"/>
      <c r="C31" s="43"/>
    </row>
    <row r="32" spans="1:7" x14ac:dyDescent="0.2">
      <c r="A32" s="2"/>
      <c r="B32" s="20"/>
    </row>
  </sheetData>
  <mergeCells count="3">
    <mergeCell ref="A2:A3"/>
    <mergeCell ref="B2:B3"/>
    <mergeCell ref="C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62D52-F4E0-4A88-9E4E-954A7A79AA7D}">
  <sheetPr>
    <tabColor rgb="FF7030A0"/>
  </sheetPr>
  <dimension ref="A1:D40"/>
  <sheetViews>
    <sheetView topLeftCell="A26" workbookViewId="0">
      <selection activeCell="C16" sqref="C16"/>
    </sheetView>
  </sheetViews>
  <sheetFormatPr baseColWidth="10" defaultColWidth="10.85546875" defaultRowHeight="15" x14ac:dyDescent="0.25"/>
  <cols>
    <col min="1" max="1" width="4.42578125" style="24" customWidth="1"/>
    <col min="2" max="2" width="36.7109375" style="25" customWidth="1"/>
    <col min="3" max="3" width="91.85546875" style="175" customWidth="1"/>
    <col min="4" max="4" width="20.85546875" style="25" bestFit="1" customWidth="1"/>
    <col min="5" max="16384" width="10.85546875" style="25"/>
  </cols>
  <sheetData>
    <row r="1" spans="1:4" ht="33.950000000000003" customHeight="1" x14ac:dyDescent="0.25">
      <c r="A1" s="403" t="s">
        <v>133</v>
      </c>
      <c r="B1" s="403"/>
      <c r="C1" s="403"/>
      <c r="D1" s="403"/>
    </row>
    <row r="2" spans="1:4" ht="15.75" thickBot="1" x14ac:dyDescent="0.3">
      <c r="A2" s="24" t="s">
        <v>0</v>
      </c>
      <c r="B2" s="172" t="s">
        <v>1</v>
      </c>
      <c r="C2" s="172" t="s">
        <v>45</v>
      </c>
      <c r="D2" s="173" t="s">
        <v>116</v>
      </c>
    </row>
    <row r="3" spans="1:4" x14ac:dyDescent="0.25">
      <c r="A3" s="24">
        <v>1</v>
      </c>
      <c r="B3" s="174" t="s">
        <v>10</v>
      </c>
      <c r="C3" s="175" t="s">
        <v>117</v>
      </c>
      <c r="D3" s="25" t="s">
        <v>161</v>
      </c>
    </row>
    <row r="4" spans="1:4" ht="45" x14ac:dyDescent="0.25">
      <c r="A4" s="24">
        <v>2</v>
      </c>
      <c r="B4" s="176" t="s">
        <v>11</v>
      </c>
      <c r="C4" s="175" t="s">
        <v>118</v>
      </c>
      <c r="D4" s="25" t="s">
        <v>161</v>
      </c>
    </row>
    <row r="5" spans="1:4" ht="30" x14ac:dyDescent="0.25">
      <c r="A5" s="24">
        <v>3</v>
      </c>
      <c r="B5" s="176" t="s">
        <v>12</v>
      </c>
      <c r="C5" s="175" t="s">
        <v>119</v>
      </c>
      <c r="D5" s="25" t="s">
        <v>161</v>
      </c>
    </row>
    <row r="6" spans="1:4" ht="45" x14ac:dyDescent="0.25">
      <c r="A6" s="24">
        <v>4</v>
      </c>
      <c r="B6" s="177" t="s">
        <v>13</v>
      </c>
      <c r="C6" s="175" t="s">
        <v>214</v>
      </c>
      <c r="D6" s="25" t="s">
        <v>161</v>
      </c>
    </row>
    <row r="7" spans="1:4" ht="30" x14ac:dyDescent="0.25">
      <c r="A7" s="24">
        <v>5</v>
      </c>
      <c r="B7" s="177" t="s">
        <v>14</v>
      </c>
      <c r="C7" s="175" t="s">
        <v>120</v>
      </c>
      <c r="D7" s="25" t="s">
        <v>161</v>
      </c>
    </row>
    <row r="8" spans="1:4" ht="30" x14ac:dyDescent="0.25">
      <c r="A8" s="24">
        <v>6</v>
      </c>
      <c r="B8" s="177" t="s">
        <v>15</v>
      </c>
      <c r="C8" s="175" t="s">
        <v>121</v>
      </c>
      <c r="D8" s="25" t="s">
        <v>161</v>
      </c>
    </row>
    <row r="9" spans="1:4" x14ac:dyDescent="0.25">
      <c r="A9" s="24">
        <v>7</v>
      </c>
      <c r="B9" s="357" t="s">
        <v>80</v>
      </c>
      <c r="C9" s="175" t="s">
        <v>140</v>
      </c>
      <c r="D9" s="25" t="s">
        <v>134</v>
      </c>
    </row>
    <row r="10" spans="1:4" x14ac:dyDescent="0.25">
      <c r="A10" s="24">
        <v>8</v>
      </c>
      <c r="B10" s="357" t="s">
        <v>81</v>
      </c>
      <c r="C10" s="175" t="s">
        <v>212</v>
      </c>
      <c r="D10" s="25" t="s">
        <v>134</v>
      </c>
    </row>
    <row r="11" spans="1:4" x14ac:dyDescent="0.25">
      <c r="A11" s="24">
        <v>9</v>
      </c>
      <c r="B11" s="357" t="s">
        <v>82</v>
      </c>
      <c r="C11" s="175" t="s">
        <v>141</v>
      </c>
      <c r="D11" s="25" t="s">
        <v>134</v>
      </c>
    </row>
    <row r="12" spans="1:4" x14ac:dyDescent="0.25">
      <c r="A12" s="24">
        <v>10</v>
      </c>
      <c r="B12" s="176" t="s">
        <v>16</v>
      </c>
      <c r="C12" s="178" t="s">
        <v>122</v>
      </c>
      <c r="D12" s="25" t="s">
        <v>162</v>
      </c>
    </row>
    <row r="13" spans="1:4" ht="30" x14ac:dyDescent="0.25">
      <c r="A13" s="24">
        <v>11</v>
      </c>
      <c r="B13" s="357" t="s">
        <v>17</v>
      </c>
      <c r="C13" s="178" t="s">
        <v>123</v>
      </c>
      <c r="D13" s="25" t="s">
        <v>162</v>
      </c>
    </row>
    <row r="14" spans="1:4" ht="30" x14ac:dyDescent="0.25">
      <c r="A14" s="24">
        <v>12</v>
      </c>
      <c r="B14" s="357" t="s">
        <v>18</v>
      </c>
      <c r="C14" s="178" t="s">
        <v>124</v>
      </c>
      <c r="D14" s="25" t="s">
        <v>162</v>
      </c>
    </row>
    <row r="15" spans="1:4" ht="60" x14ac:dyDescent="0.25">
      <c r="A15" s="24">
        <v>13</v>
      </c>
      <c r="B15" s="357" t="s">
        <v>19</v>
      </c>
      <c r="C15" s="175" t="s">
        <v>215</v>
      </c>
      <c r="D15" s="25" t="s">
        <v>162</v>
      </c>
    </row>
    <row r="16" spans="1:4" ht="120" x14ac:dyDescent="0.25">
      <c r="A16" s="24">
        <v>14</v>
      </c>
      <c r="B16" s="357" t="s">
        <v>20</v>
      </c>
      <c r="C16" s="175" t="s">
        <v>132</v>
      </c>
      <c r="D16" s="25" t="s">
        <v>162</v>
      </c>
    </row>
    <row r="17" spans="1:4" ht="45" x14ac:dyDescent="0.25">
      <c r="A17" s="24">
        <v>15</v>
      </c>
      <c r="B17" s="358" t="s">
        <v>21</v>
      </c>
      <c r="C17" s="179" t="s">
        <v>216</v>
      </c>
      <c r="D17" s="25" t="s">
        <v>162</v>
      </c>
    </row>
    <row r="18" spans="1:4" ht="45" x14ac:dyDescent="0.25">
      <c r="A18" s="24">
        <v>16</v>
      </c>
      <c r="B18" s="358" t="s">
        <v>22</v>
      </c>
      <c r="C18" s="180" t="s">
        <v>125</v>
      </c>
      <c r="D18" s="25" t="s">
        <v>162</v>
      </c>
    </row>
    <row r="19" spans="1:4" x14ac:dyDescent="0.25">
      <c r="A19" s="24">
        <v>17</v>
      </c>
      <c r="B19" s="358" t="s">
        <v>137</v>
      </c>
      <c r="C19" s="175" t="s">
        <v>208</v>
      </c>
      <c r="D19" s="25" t="s">
        <v>163</v>
      </c>
    </row>
    <row r="20" spans="1:4" x14ac:dyDescent="0.25">
      <c r="A20" s="24">
        <v>18</v>
      </c>
      <c r="B20" s="358" t="s">
        <v>138</v>
      </c>
      <c r="C20" s="175" t="s">
        <v>209</v>
      </c>
      <c r="D20" s="25" t="s">
        <v>163</v>
      </c>
    </row>
    <row r="21" spans="1:4" x14ac:dyDescent="0.25">
      <c r="A21" s="24">
        <v>19</v>
      </c>
      <c r="B21" s="358" t="s">
        <v>139</v>
      </c>
      <c r="C21" s="175" t="s">
        <v>210</v>
      </c>
      <c r="D21" s="25" t="s">
        <v>163</v>
      </c>
    </row>
    <row r="22" spans="1:4" ht="30" x14ac:dyDescent="0.25">
      <c r="A22" s="24">
        <v>20</v>
      </c>
      <c r="B22" s="358" t="s">
        <v>24</v>
      </c>
      <c r="C22" s="175" t="s">
        <v>211</v>
      </c>
      <c r="D22" s="25" t="s">
        <v>163</v>
      </c>
    </row>
    <row r="23" spans="1:4" x14ac:dyDescent="0.25">
      <c r="A23" s="24">
        <v>21</v>
      </c>
      <c r="B23" s="181" t="s">
        <v>25</v>
      </c>
      <c r="C23" s="175" t="s">
        <v>126</v>
      </c>
      <c r="D23" s="25" t="s">
        <v>127</v>
      </c>
    </row>
    <row r="24" spans="1:4" ht="45" x14ac:dyDescent="0.25">
      <c r="A24" s="24">
        <v>22</v>
      </c>
      <c r="B24" s="176" t="s">
        <v>26</v>
      </c>
      <c r="C24" s="175" t="s">
        <v>128</v>
      </c>
      <c r="D24" s="25" t="s">
        <v>127</v>
      </c>
    </row>
    <row r="25" spans="1:4" ht="30" x14ac:dyDescent="0.25">
      <c r="A25" s="24">
        <v>23</v>
      </c>
      <c r="B25" s="357" t="s">
        <v>129</v>
      </c>
      <c r="C25" s="182" t="s">
        <v>130</v>
      </c>
      <c r="D25" s="25" t="s">
        <v>127</v>
      </c>
    </row>
    <row r="26" spans="1:4" x14ac:dyDescent="0.25">
      <c r="A26" s="24">
        <v>24</v>
      </c>
      <c r="B26" s="357" t="s">
        <v>27</v>
      </c>
      <c r="C26" s="175" t="s">
        <v>131</v>
      </c>
      <c r="D26" s="25" t="s">
        <v>127</v>
      </c>
    </row>
    <row r="27" spans="1:4" ht="30" x14ac:dyDescent="0.25">
      <c r="A27" s="24">
        <v>25</v>
      </c>
      <c r="B27" s="25" t="s">
        <v>160</v>
      </c>
      <c r="C27" s="175" t="s">
        <v>158</v>
      </c>
      <c r="D27" s="25" t="s">
        <v>213</v>
      </c>
    </row>
    <row r="28" spans="1:4" ht="30" x14ac:dyDescent="0.25">
      <c r="A28" s="24">
        <v>26</v>
      </c>
      <c r="B28" s="25" t="s">
        <v>159</v>
      </c>
      <c r="C28" s="175" t="s">
        <v>136</v>
      </c>
      <c r="D28" s="25" t="s">
        <v>213</v>
      </c>
    </row>
    <row r="29" spans="1:4" ht="30" x14ac:dyDescent="0.25">
      <c r="A29" s="24">
        <v>27</v>
      </c>
      <c r="B29" s="25" t="s">
        <v>135</v>
      </c>
      <c r="C29" s="175" t="s">
        <v>207</v>
      </c>
      <c r="D29" s="25" t="s">
        <v>213</v>
      </c>
    </row>
    <row r="30" spans="1:4" x14ac:dyDescent="0.25">
      <c r="A30" s="24">
        <v>28</v>
      </c>
      <c r="B30" s="25" t="s">
        <v>157</v>
      </c>
      <c r="C30" s="175" t="s">
        <v>146</v>
      </c>
      <c r="D30" s="25" t="s">
        <v>213</v>
      </c>
    </row>
    <row r="31" spans="1:4" x14ac:dyDescent="0.25">
      <c r="A31" s="24">
        <v>29</v>
      </c>
      <c r="B31" s="25" t="s">
        <v>156</v>
      </c>
      <c r="C31" s="175" t="s">
        <v>147</v>
      </c>
      <c r="D31" s="25" t="s">
        <v>213</v>
      </c>
    </row>
    <row r="32" spans="1:4" x14ac:dyDescent="0.25">
      <c r="A32" s="24">
        <v>30</v>
      </c>
      <c r="B32" s="25" t="s">
        <v>155</v>
      </c>
      <c r="C32" s="175" t="s">
        <v>148</v>
      </c>
      <c r="D32" s="25" t="s">
        <v>213</v>
      </c>
    </row>
    <row r="33" spans="1:4" x14ac:dyDescent="0.25">
      <c r="A33" s="24">
        <v>31</v>
      </c>
      <c r="B33" s="25" t="s">
        <v>154</v>
      </c>
      <c r="C33" s="175" t="s">
        <v>149</v>
      </c>
      <c r="D33" s="25" t="s">
        <v>213</v>
      </c>
    </row>
    <row r="34" spans="1:4" x14ac:dyDescent="0.25">
      <c r="A34" s="24">
        <v>32</v>
      </c>
      <c r="B34" s="25" t="s">
        <v>153</v>
      </c>
      <c r="C34" s="175" t="s">
        <v>150</v>
      </c>
      <c r="D34" s="25" t="s">
        <v>213</v>
      </c>
    </row>
    <row r="35" spans="1:4" x14ac:dyDescent="0.25">
      <c r="A35" s="24">
        <v>33</v>
      </c>
      <c r="B35" s="25" t="s">
        <v>152</v>
      </c>
      <c r="C35" s="175" t="s">
        <v>151</v>
      </c>
      <c r="D35" s="25" t="s">
        <v>213</v>
      </c>
    </row>
    <row r="36" spans="1:4" x14ac:dyDescent="0.25">
      <c r="A36" s="24">
        <v>34</v>
      </c>
      <c r="B36" s="184" t="s">
        <v>54</v>
      </c>
      <c r="C36" s="175" t="s">
        <v>55</v>
      </c>
      <c r="D36" s="25" t="s">
        <v>213</v>
      </c>
    </row>
    <row r="37" spans="1:4" x14ac:dyDescent="0.25">
      <c r="A37" s="24">
        <v>35</v>
      </c>
      <c r="B37" s="183" t="s">
        <v>62</v>
      </c>
      <c r="C37" s="175" t="s">
        <v>63</v>
      </c>
      <c r="D37" s="25" t="s">
        <v>213</v>
      </c>
    </row>
    <row r="38" spans="1:4" x14ac:dyDescent="0.25">
      <c r="A38" s="24">
        <v>36</v>
      </c>
      <c r="B38" s="25" t="s">
        <v>142</v>
      </c>
      <c r="C38" s="185" t="s">
        <v>110</v>
      </c>
      <c r="D38" s="25" t="s">
        <v>213</v>
      </c>
    </row>
    <row r="39" spans="1:4" ht="30" x14ac:dyDescent="0.25">
      <c r="A39" s="24">
        <v>37</v>
      </c>
      <c r="B39" s="25" t="s">
        <v>143</v>
      </c>
      <c r="C39" s="185" t="s">
        <v>111</v>
      </c>
      <c r="D39" s="25" t="s">
        <v>213</v>
      </c>
    </row>
    <row r="40" spans="1:4" ht="30" x14ac:dyDescent="0.25">
      <c r="A40" s="24">
        <v>38</v>
      </c>
      <c r="B40" s="25" t="s">
        <v>145</v>
      </c>
      <c r="C40" s="185" t="s">
        <v>144</v>
      </c>
      <c r="D40" s="25" t="s">
        <v>213</v>
      </c>
    </row>
  </sheetData>
  <mergeCells count="1">
    <mergeCell ref="A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4963D-2BD5-4E91-8C55-0FF4FD9EE38A}">
  <sheetPr>
    <tabColor rgb="FF9D2F95"/>
  </sheetPr>
  <dimension ref="A1:K117"/>
  <sheetViews>
    <sheetView tabSelected="1" topLeftCell="A87" workbookViewId="0">
      <selection activeCell="F121" sqref="F121"/>
    </sheetView>
  </sheetViews>
  <sheetFormatPr baseColWidth="10" defaultColWidth="11.140625" defaultRowHeight="12" x14ac:dyDescent="0.2"/>
  <cols>
    <col min="1" max="1" width="4.42578125" style="2" customWidth="1"/>
    <col min="2" max="2" width="28.28515625" style="2" customWidth="1"/>
    <col min="3" max="3" width="19.85546875" style="2" bestFit="1" customWidth="1"/>
    <col min="4" max="4" width="11.42578125" style="2" customWidth="1"/>
    <col min="5" max="5" width="4.85546875" style="2" customWidth="1"/>
    <col min="6" max="6" width="26" style="2" customWidth="1"/>
    <col min="7" max="7" width="14.7109375" style="2" customWidth="1"/>
    <col min="8" max="8" width="11.140625" style="2"/>
    <col min="9" max="9" width="3.28515625" style="2" bestFit="1" customWidth="1"/>
    <col min="10" max="10" width="25.85546875" style="2" customWidth="1"/>
    <col min="11" max="16384" width="11.140625" style="2"/>
  </cols>
  <sheetData>
    <row r="1" spans="1:11" x14ac:dyDescent="0.2">
      <c r="A1" s="207"/>
      <c r="B1" s="208"/>
      <c r="C1" s="208"/>
    </row>
    <row r="2" spans="1:11" ht="12.75" thickBot="1" x14ac:dyDescent="0.25">
      <c r="A2" s="241" t="s">
        <v>193</v>
      </c>
      <c r="B2" s="242"/>
      <c r="C2" s="243"/>
    </row>
    <row r="3" spans="1:11" ht="12.75" thickBot="1" x14ac:dyDescent="0.25">
      <c r="A3" s="186" t="s">
        <v>69</v>
      </c>
      <c r="B3" s="194" t="s">
        <v>70</v>
      </c>
      <c r="C3" s="227" t="s">
        <v>183</v>
      </c>
    </row>
    <row r="4" spans="1:11" x14ac:dyDescent="0.2">
      <c r="A4" s="187">
        <v>1</v>
      </c>
      <c r="B4" s="188" t="s">
        <v>10</v>
      </c>
      <c r="C4" s="228"/>
    </row>
    <row r="5" spans="1:11" x14ac:dyDescent="0.2">
      <c r="A5" s="187">
        <v>2</v>
      </c>
      <c r="B5" s="189" t="s">
        <v>11</v>
      </c>
      <c r="C5" s="214"/>
    </row>
    <row r="6" spans="1:11" x14ac:dyDescent="0.2">
      <c r="A6" s="187">
        <v>3</v>
      </c>
      <c r="B6" s="189" t="s">
        <v>12</v>
      </c>
      <c r="C6" s="214"/>
    </row>
    <row r="7" spans="1:11" x14ac:dyDescent="0.2">
      <c r="A7" s="187">
        <v>4</v>
      </c>
      <c r="B7" s="190" t="s">
        <v>13</v>
      </c>
      <c r="C7" s="214"/>
    </row>
    <row r="8" spans="1:11" x14ac:dyDescent="0.2">
      <c r="A8" s="187">
        <v>5</v>
      </c>
      <c r="B8" s="190" t="s">
        <v>14</v>
      </c>
      <c r="C8" s="214"/>
    </row>
    <row r="9" spans="1:11" ht="12.75" thickBot="1" x14ac:dyDescent="0.25">
      <c r="A9" s="191">
        <v>6</v>
      </c>
      <c r="B9" s="192" t="s">
        <v>15</v>
      </c>
      <c r="C9" s="216"/>
    </row>
    <row r="10" spans="1:11" x14ac:dyDescent="0.2">
      <c r="B10" s="193"/>
      <c r="C10" s="195"/>
    </row>
    <row r="11" spans="1:11" x14ac:dyDescent="0.2">
      <c r="B11" s="193"/>
      <c r="C11" s="195"/>
    </row>
    <row r="12" spans="1:11" ht="12.75" thickBot="1" x14ac:dyDescent="0.25">
      <c r="A12" s="405" t="s">
        <v>200</v>
      </c>
      <c r="B12" s="405"/>
      <c r="C12" s="405"/>
      <c r="D12" s="405"/>
      <c r="E12" s="405"/>
      <c r="F12" s="405"/>
      <c r="G12" s="405"/>
      <c r="H12" s="405"/>
      <c r="I12" s="405"/>
      <c r="J12" s="405"/>
      <c r="K12" s="405"/>
    </row>
    <row r="13" spans="1:11" ht="12.75" thickBot="1" x14ac:dyDescent="0.25">
      <c r="A13" s="240" t="s">
        <v>69</v>
      </c>
      <c r="B13" s="224" t="s">
        <v>186</v>
      </c>
      <c r="C13" s="224" t="s">
        <v>183</v>
      </c>
      <c r="E13" s="240" t="s">
        <v>69</v>
      </c>
      <c r="F13" s="224" t="s">
        <v>187</v>
      </c>
      <c r="G13" s="224" t="s">
        <v>183</v>
      </c>
      <c r="I13" s="240" t="s">
        <v>69</v>
      </c>
      <c r="J13" s="224" t="s">
        <v>188</v>
      </c>
      <c r="K13" s="224" t="s">
        <v>183</v>
      </c>
    </row>
    <row r="14" spans="1:11" x14ac:dyDescent="0.2">
      <c r="A14" s="187">
        <v>1</v>
      </c>
      <c r="B14" s="188" t="s">
        <v>10</v>
      </c>
      <c r="C14" s="228"/>
      <c r="E14" s="187">
        <v>1</v>
      </c>
      <c r="F14" s="188" t="s">
        <v>10</v>
      </c>
      <c r="G14" s="228"/>
      <c r="I14" s="187">
        <v>1</v>
      </c>
      <c r="J14" s="188" t="s">
        <v>10</v>
      </c>
      <c r="K14" s="228"/>
    </row>
    <row r="15" spans="1:11" x14ac:dyDescent="0.2">
      <c r="A15" s="187">
        <v>2</v>
      </c>
      <c r="B15" s="189" t="s">
        <v>11</v>
      </c>
      <c r="C15" s="214"/>
      <c r="E15" s="187">
        <v>2</v>
      </c>
      <c r="F15" s="189" t="s">
        <v>11</v>
      </c>
      <c r="G15" s="214"/>
      <c r="I15" s="187">
        <v>2</v>
      </c>
      <c r="J15" s="189" t="s">
        <v>11</v>
      </c>
      <c r="K15" s="214"/>
    </row>
    <row r="16" spans="1:11" x14ac:dyDescent="0.2">
      <c r="A16" s="187">
        <v>3</v>
      </c>
      <c r="B16" s="189" t="s">
        <v>12</v>
      </c>
      <c r="C16" s="214"/>
      <c r="E16" s="187">
        <v>3</v>
      </c>
      <c r="F16" s="189" t="s">
        <v>12</v>
      </c>
      <c r="G16" s="214"/>
      <c r="I16" s="187">
        <v>3</v>
      </c>
      <c r="J16" s="189" t="s">
        <v>12</v>
      </c>
      <c r="K16" s="214"/>
    </row>
    <row r="17" spans="1:11" x14ac:dyDescent="0.2">
      <c r="A17" s="187">
        <v>4</v>
      </c>
      <c r="B17" s="190" t="s">
        <v>13</v>
      </c>
      <c r="C17" s="214"/>
      <c r="E17" s="187">
        <v>4</v>
      </c>
      <c r="F17" s="190" t="s">
        <v>13</v>
      </c>
      <c r="G17" s="214"/>
      <c r="I17" s="187">
        <v>4</v>
      </c>
      <c r="J17" s="190" t="s">
        <v>13</v>
      </c>
      <c r="K17" s="214"/>
    </row>
    <row r="18" spans="1:11" x14ac:dyDescent="0.2">
      <c r="A18" s="187">
        <v>5</v>
      </c>
      <c r="B18" s="190" t="s">
        <v>14</v>
      </c>
      <c r="C18" s="214"/>
      <c r="E18" s="187">
        <v>5</v>
      </c>
      <c r="F18" s="190" t="s">
        <v>14</v>
      </c>
      <c r="G18" s="214"/>
      <c r="I18" s="187">
        <v>5</v>
      </c>
      <c r="J18" s="190" t="s">
        <v>14</v>
      </c>
      <c r="K18" s="214"/>
    </row>
    <row r="19" spans="1:11" ht="12.75" thickBot="1" x14ac:dyDescent="0.25">
      <c r="A19" s="191">
        <v>6</v>
      </c>
      <c r="B19" s="192" t="s">
        <v>15</v>
      </c>
      <c r="C19" s="216"/>
      <c r="E19" s="191">
        <v>6</v>
      </c>
      <c r="F19" s="192" t="s">
        <v>15</v>
      </c>
      <c r="G19" s="216"/>
      <c r="I19" s="191">
        <v>6</v>
      </c>
      <c r="J19" s="192" t="s">
        <v>15</v>
      </c>
      <c r="K19" s="216"/>
    </row>
    <row r="20" spans="1:11" x14ac:dyDescent="0.2">
      <c r="B20" s="193"/>
      <c r="C20" s="195"/>
    </row>
    <row r="21" spans="1:11" ht="12.75" thickBot="1" x14ac:dyDescent="0.25">
      <c r="A21" s="241" t="s">
        <v>196</v>
      </c>
      <c r="B21" s="244"/>
      <c r="C21" s="245"/>
    </row>
    <row r="22" spans="1:11" ht="12.75" thickBot="1" x14ac:dyDescent="0.25">
      <c r="A22" s="186" t="s">
        <v>69</v>
      </c>
      <c r="B22" s="194" t="s">
        <v>70</v>
      </c>
      <c r="C22" s="227" t="s">
        <v>183</v>
      </c>
    </row>
    <row r="23" spans="1:11" x14ac:dyDescent="0.2">
      <c r="A23" s="187">
        <v>1</v>
      </c>
      <c r="B23" s="188" t="s">
        <v>10</v>
      </c>
      <c r="C23" s="228"/>
    </row>
    <row r="24" spans="1:11" x14ac:dyDescent="0.2">
      <c r="A24" s="187">
        <v>2</v>
      </c>
      <c r="B24" s="189" t="s">
        <v>11</v>
      </c>
      <c r="C24" s="214"/>
    </row>
    <row r="25" spans="1:11" x14ac:dyDescent="0.2">
      <c r="A25" s="187">
        <v>3</v>
      </c>
      <c r="B25" s="189" t="s">
        <v>12</v>
      </c>
      <c r="C25" s="214"/>
    </row>
    <row r="26" spans="1:11" x14ac:dyDescent="0.2">
      <c r="A26" s="187">
        <v>4</v>
      </c>
      <c r="B26" s="190" t="s">
        <v>13</v>
      </c>
      <c r="C26" s="214"/>
    </row>
    <row r="27" spans="1:11" x14ac:dyDescent="0.2">
      <c r="A27" s="187">
        <v>5</v>
      </c>
      <c r="B27" s="190" t="s">
        <v>14</v>
      </c>
      <c r="C27" s="214"/>
    </row>
    <row r="28" spans="1:11" ht="12.75" thickBot="1" x14ac:dyDescent="0.25">
      <c r="A28" s="191">
        <v>6</v>
      </c>
      <c r="B28" s="192" t="s">
        <v>15</v>
      </c>
      <c r="C28" s="216"/>
    </row>
    <row r="29" spans="1:11" x14ac:dyDescent="0.2">
      <c r="B29" s="193"/>
      <c r="C29" s="195"/>
    </row>
    <row r="30" spans="1:11" ht="12.75" thickBot="1" x14ac:dyDescent="0.25">
      <c r="A30" s="241" t="s">
        <v>195</v>
      </c>
      <c r="B30" s="242"/>
      <c r="C30" s="243"/>
    </row>
    <row r="31" spans="1:11" ht="12.75" thickBot="1" x14ac:dyDescent="0.25">
      <c r="A31" s="186" t="s">
        <v>69</v>
      </c>
      <c r="B31" s="194" t="s">
        <v>70</v>
      </c>
      <c r="C31" s="227" t="s">
        <v>183</v>
      </c>
    </row>
    <row r="32" spans="1:11" x14ac:dyDescent="0.2">
      <c r="A32" s="187">
        <v>1</v>
      </c>
      <c r="B32" s="188" t="s">
        <v>10</v>
      </c>
      <c r="C32" s="228"/>
    </row>
    <row r="33" spans="1:3" x14ac:dyDescent="0.2">
      <c r="A33" s="187">
        <v>2</v>
      </c>
      <c r="B33" s="189" t="s">
        <v>11</v>
      </c>
      <c r="C33" s="214"/>
    </row>
    <row r="34" spans="1:3" x14ac:dyDescent="0.2">
      <c r="A34" s="187">
        <v>3</v>
      </c>
      <c r="B34" s="189" t="s">
        <v>12</v>
      </c>
      <c r="C34" s="214"/>
    </row>
    <row r="35" spans="1:3" x14ac:dyDescent="0.2">
      <c r="A35" s="197" t="s">
        <v>166</v>
      </c>
      <c r="B35" s="204" t="s">
        <v>80</v>
      </c>
      <c r="C35" s="215"/>
    </row>
    <row r="36" spans="1:3" x14ac:dyDescent="0.2">
      <c r="A36" s="197" t="s">
        <v>167</v>
      </c>
      <c r="B36" s="204" t="s">
        <v>81</v>
      </c>
      <c r="C36" s="215"/>
    </row>
    <row r="37" spans="1:3" ht="12.75" thickBot="1" x14ac:dyDescent="0.25">
      <c r="A37" s="198" t="s">
        <v>168</v>
      </c>
      <c r="B37" s="209" t="s">
        <v>82</v>
      </c>
      <c r="C37" s="215"/>
    </row>
    <row r="38" spans="1:3" x14ac:dyDescent="0.2">
      <c r="A38" s="187">
        <v>4</v>
      </c>
      <c r="B38" s="190" t="s">
        <v>13</v>
      </c>
      <c r="C38" s="214"/>
    </row>
    <row r="39" spans="1:3" x14ac:dyDescent="0.2">
      <c r="A39" s="187">
        <v>5</v>
      </c>
      <c r="B39" s="190" t="s">
        <v>14</v>
      </c>
      <c r="C39" s="214"/>
    </row>
    <row r="40" spans="1:3" ht="12.75" thickBot="1" x14ac:dyDescent="0.25">
      <c r="A40" s="191">
        <v>6</v>
      </c>
      <c r="B40" s="192" t="s">
        <v>15</v>
      </c>
      <c r="C40" s="216"/>
    </row>
    <row r="41" spans="1:3" x14ac:dyDescent="0.2">
      <c r="B41" s="193"/>
      <c r="C41" s="196"/>
    </row>
    <row r="43" spans="1:3" ht="12.75" thickBot="1" x14ac:dyDescent="0.25">
      <c r="A43" s="256" t="s">
        <v>192</v>
      </c>
      <c r="B43" s="257"/>
      <c r="C43" s="257"/>
    </row>
    <row r="44" spans="1:3" ht="12.75" thickBot="1" x14ac:dyDescent="0.25">
      <c r="A44" s="210" t="s">
        <v>69</v>
      </c>
      <c r="B44" s="211" t="s">
        <v>70</v>
      </c>
      <c r="C44" s="211" t="s">
        <v>183</v>
      </c>
    </row>
    <row r="45" spans="1:3" x14ac:dyDescent="0.2">
      <c r="A45" s="212">
        <v>1</v>
      </c>
      <c r="B45" s="203" t="s">
        <v>66</v>
      </c>
      <c r="C45" s="225"/>
    </row>
    <row r="46" spans="1:3" x14ac:dyDescent="0.2">
      <c r="A46" s="201">
        <v>2</v>
      </c>
      <c r="B46" s="204" t="s">
        <v>67</v>
      </c>
      <c r="C46" s="214"/>
    </row>
    <row r="47" spans="1:3" x14ac:dyDescent="0.2">
      <c r="A47" s="201">
        <v>3</v>
      </c>
      <c r="B47" s="204" t="s">
        <v>18</v>
      </c>
      <c r="C47" s="214"/>
    </row>
    <row r="48" spans="1:3" x14ac:dyDescent="0.2">
      <c r="A48" s="201">
        <v>4</v>
      </c>
      <c r="B48" s="204" t="s">
        <v>19</v>
      </c>
      <c r="C48" s="214"/>
    </row>
    <row r="49" spans="1:11" x14ac:dyDescent="0.2">
      <c r="A49" s="201">
        <v>5</v>
      </c>
      <c r="B49" s="204" t="s">
        <v>20</v>
      </c>
      <c r="C49" s="214"/>
    </row>
    <row r="50" spans="1:11" x14ac:dyDescent="0.2">
      <c r="A50" s="201">
        <v>6</v>
      </c>
      <c r="B50" s="205" t="s">
        <v>21</v>
      </c>
      <c r="C50" s="214"/>
    </row>
    <row r="51" spans="1:11" ht="12.75" thickBot="1" x14ac:dyDescent="0.25">
      <c r="A51" s="213">
        <v>7</v>
      </c>
      <c r="B51" s="206" t="s">
        <v>22</v>
      </c>
      <c r="C51" s="216"/>
    </row>
    <row r="52" spans="1:11" x14ac:dyDescent="0.2">
      <c r="B52" s="239"/>
      <c r="C52" s="195"/>
    </row>
    <row r="53" spans="1:11" x14ac:dyDescent="0.2">
      <c r="B53" s="239"/>
      <c r="C53" s="195"/>
      <c r="E53" s="219"/>
    </row>
    <row r="54" spans="1:11" ht="12.75" thickBot="1" x14ac:dyDescent="0.25">
      <c r="A54" s="404" t="s">
        <v>189</v>
      </c>
      <c r="B54" s="404"/>
      <c r="C54" s="404"/>
      <c r="D54" s="404"/>
      <c r="E54" s="404"/>
      <c r="F54" s="404"/>
      <c r="G54" s="404"/>
      <c r="H54" s="404"/>
      <c r="I54" s="404"/>
      <c r="J54" s="404"/>
      <c r="K54" s="404"/>
    </row>
    <row r="55" spans="1:11" ht="12.75" thickBot="1" x14ac:dyDescent="0.25">
      <c r="A55" s="240" t="s">
        <v>69</v>
      </c>
      <c r="B55" s="224" t="s">
        <v>186</v>
      </c>
      <c r="C55" s="224" t="s">
        <v>183</v>
      </c>
      <c r="E55" s="240" t="s">
        <v>69</v>
      </c>
      <c r="F55" s="224" t="s">
        <v>187</v>
      </c>
      <c r="G55" s="224" t="s">
        <v>183</v>
      </c>
      <c r="I55" s="240" t="s">
        <v>69</v>
      </c>
      <c r="J55" s="224" t="s">
        <v>188</v>
      </c>
      <c r="K55" s="224" t="s">
        <v>183</v>
      </c>
    </row>
    <row r="56" spans="1:11" x14ac:dyDescent="0.2">
      <c r="A56" s="212">
        <v>1</v>
      </c>
      <c r="B56" s="203" t="s">
        <v>66</v>
      </c>
      <c r="C56" s="225"/>
      <c r="E56" s="212">
        <v>1</v>
      </c>
      <c r="F56" s="203" t="s">
        <v>66</v>
      </c>
      <c r="G56" s="225"/>
      <c r="I56" s="212">
        <v>1</v>
      </c>
      <c r="J56" s="203" t="s">
        <v>66</v>
      </c>
      <c r="K56" s="225"/>
    </row>
    <row r="57" spans="1:11" x14ac:dyDescent="0.2">
      <c r="A57" s="201">
        <v>2</v>
      </c>
      <c r="B57" s="204" t="s">
        <v>67</v>
      </c>
      <c r="C57" s="214"/>
      <c r="E57" s="201">
        <v>2</v>
      </c>
      <c r="F57" s="204" t="s">
        <v>67</v>
      </c>
      <c r="G57" s="214"/>
      <c r="I57" s="201">
        <v>2</v>
      </c>
      <c r="J57" s="204" t="s">
        <v>67</v>
      </c>
      <c r="K57" s="214"/>
    </row>
    <row r="58" spans="1:11" x14ac:dyDescent="0.2">
      <c r="A58" s="201">
        <v>3</v>
      </c>
      <c r="B58" s="204" t="s">
        <v>18</v>
      </c>
      <c r="C58" s="214"/>
      <c r="E58" s="201">
        <v>3</v>
      </c>
      <c r="F58" s="204" t="s">
        <v>18</v>
      </c>
      <c r="G58" s="214"/>
      <c r="I58" s="201">
        <v>3</v>
      </c>
      <c r="J58" s="204" t="s">
        <v>18</v>
      </c>
      <c r="K58" s="214"/>
    </row>
    <row r="59" spans="1:11" x14ac:dyDescent="0.2">
      <c r="A59" s="201">
        <v>4</v>
      </c>
      <c r="B59" s="204" t="s">
        <v>19</v>
      </c>
      <c r="C59" s="214"/>
      <c r="E59" s="201">
        <v>4</v>
      </c>
      <c r="F59" s="204" t="s">
        <v>19</v>
      </c>
      <c r="G59" s="214"/>
      <c r="I59" s="201">
        <v>4</v>
      </c>
      <c r="J59" s="204" t="s">
        <v>19</v>
      </c>
      <c r="K59" s="214"/>
    </row>
    <row r="60" spans="1:11" x14ac:dyDescent="0.2">
      <c r="A60" s="201">
        <v>5</v>
      </c>
      <c r="B60" s="204" t="s">
        <v>20</v>
      </c>
      <c r="C60" s="214"/>
      <c r="E60" s="201">
        <v>5</v>
      </c>
      <c r="F60" s="204" t="s">
        <v>20</v>
      </c>
      <c r="G60" s="214"/>
      <c r="I60" s="201">
        <v>5</v>
      </c>
      <c r="J60" s="204" t="s">
        <v>20</v>
      </c>
      <c r="K60" s="214"/>
    </row>
    <row r="61" spans="1:11" x14ac:dyDescent="0.2">
      <c r="A61" s="201">
        <v>6</v>
      </c>
      <c r="B61" s="205" t="s">
        <v>21</v>
      </c>
      <c r="C61" s="214"/>
      <c r="E61" s="201">
        <v>6</v>
      </c>
      <c r="F61" s="205" t="s">
        <v>21</v>
      </c>
      <c r="G61" s="214"/>
      <c r="I61" s="201">
        <v>6</v>
      </c>
      <c r="J61" s="205" t="s">
        <v>21</v>
      </c>
      <c r="K61" s="214"/>
    </row>
    <row r="62" spans="1:11" ht="12.75" thickBot="1" x14ac:dyDescent="0.25">
      <c r="A62" s="213">
        <v>7</v>
      </c>
      <c r="B62" s="206" t="s">
        <v>22</v>
      </c>
      <c r="C62" s="216"/>
      <c r="E62" s="213">
        <v>7</v>
      </c>
      <c r="F62" s="206" t="s">
        <v>22</v>
      </c>
      <c r="G62" s="216"/>
      <c r="I62" s="213">
        <v>7</v>
      </c>
      <c r="J62" s="206" t="s">
        <v>22</v>
      </c>
      <c r="K62" s="216"/>
    </row>
    <row r="65" spans="1:4" ht="12.75" thickBot="1" x14ac:dyDescent="0.25">
      <c r="A65" s="256" t="s">
        <v>194</v>
      </c>
      <c r="B65" s="257"/>
      <c r="C65" s="257"/>
    </row>
    <row r="66" spans="1:4" ht="12.75" thickBot="1" x14ac:dyDescent="0.25">
      <c r="A66" s="210" t="s">
        <v>69</v>
      </c>
      <c r="B66" s="211" t="s">
        <v>70</v>
      </c>
      <c r="C66" s="211" t="s">
        <v>183</v>
      </c>
      <c r="D66" s="217"/>
    </row>
    <row r="67" spans="1:4" x14ac:dyDescent="0.2">
      <c r="A67" s="212">
        <v>1</v>
      </c>
      <c r="B67" s="203" t="s">
        <v>66</v>
      </c>
      <c r="C67" s="226"/>
    </row>
    <row r="68" spans="1:4" x14ac:dyDescent="0.2">
      <c r="A68" s="201">
        <v>2</v>
      </c>
      <c r="B68" s="204" t="s">
        <v>67</v>
      </c>
      <c r="C68" s="220"/>
    </row>
    <row r="69" spans="1:4" x14ac:dyDescent="0.2">
      <c r="A69" s="201">
        <v>3</v>
      </c>
      <c r="B69" s="204" t="s">
        <v>18</v>
      </c>
      <c r="C69" s="220"/>
    </row>
    <row r="70" spans="1:4" x14ac:dyDescent="0.2">
      <c r="A70" s="201">
        <v>4</v>
      </c>
      <c r="B70" s="204" t="s">
        <v>19</v>
      </c>
      <c r="C70" s="215"/>
    </row>
    <row r="71" spans="1:4" x14ac:dyDescent="0.2">
      <c r="A71" s="201">
        <v>5</v>
      </c>
      <c r="B71" s="204" t="s">
        <v>20</v>
      </c>
      <c r="C71" s="215"/>
    </row>
    <row r="72" spans="1:4" x14ac:dyDescent="0.2">
      <c r="A72" s="201">
        <v>6</v>
      </c>
      <c r="B72" s="205" t="s">
        <v>21</v>
      </c>
      <c r="C72" s="215"/>
    </row>
    <row r="73" spans="1:4" ht="12.75" thickBot="1" x14ac:dyDescent="0.25">
      <c r="A73" s="213">
        <v>7</v>
      </c>
      <c r="B73" s="206" t="s">
        <v>22</v>
      </c>
      <c r="C73" s="230"/>
    </row>
    <row r="75" spans="1:4" ht="12.75" thickBot="1" x14ac:dyDescent="0.25">
      <c r="A75" s="258" t="s">
        <v>190</v>
      </c>
      <c r="B75" s="259"/>
      <c r="C75" s="257"/>
      <c r="D75" s="16"/>
    </row>
    <row r="76" spans="1:4" ht="12.75" thickBot="1" x14ac:dyDescent="0.25">
      <c r="A76" s="210" t="s">
        <v>69</v>
      </c>
      <c r="B76" s="218" t="s">
        <v>70</v>
      </c>
      <c r="C76" s="229" t="s">
        <v>183</v>
      </c>
      <c r="D76" s="16"/>
    </row>
    <row r="77" spans="1:4" x14ac:dyDescent="0.2">
      <c r="A77" s="212">
        <v>1</v>
      </c>
      <c r="B77" s="203" t="s">
        <v>66</v>
      </c>
      <c r="C77" s="231"/>
      <c r="D77" s="16"/>
    </row>
    <row r="78" spans="1:4" x14ac:dyDescent="0.2">
      <c r="A78" s="201">
        <v>2</v>
      </c>
      <c r="B78" s="203" t="s">
        <v>67</v>
      </c>
      <c r="C78" s="220"/>
    </row>
    <row r="79" spans="1:4" x14ac:dyDescent="0.2">
      <c r="A79" s="201">
        <v>3</v>
      </c>
      <c r="B79" s="204" t="s">
        <v>18</v>
      </c>
      <c r="C79" s="220"/>
    </row>
    <row r="80" spans="1:4" x14ac:dyDescent="0.2">
      <c r="A80" s="201">
        <v>4</v>
      </c>
      <c r="B80" s="204" t="s">
        <v>19</v>
      </c>
      <c r="C80" s="215"/>
    </row>
    <row r="81" spans="1:4" x14ac:dyDescent="0.2">
      <c r="A81" s="201">
        <v>5</v>
      </c>
      <c r="B81" s="204" t="s">
        <v>20</v>
      </c>
      <c r="C81" s="215"/>
    </row>
    <row r="82" spans="1:4" x14ac:dyDescent="0.2">
      <c r="A82" s="201">
        <v>6</v>
      </c>
      <c r="B82" s="204" t="s">
        <v>21</v>
      </c>
      <c r="C82" s="215"/>
    </row>
    <row r="83" spans="1:4" ht="12.75" thickBot="1" x14ac:dyDescent="0.25">
      <c r="A83" s="213">
        <v>7</v>
      </c>
      <c r="B83" s="206" t="s">
        <v>22</v>
      </c>
      <c r="C83" s="230"/>
    </row>
    <row r="86" spans="1:4" ht="12.75" thickBot="1" x14ac:dyDescent="0.25">
      <c r="A86" s="260" t="s">
        <v>199</v>
      </c>
      <c r="B86" s="261"/>
      <c r="C86" s="261"/>
    </row>
    <row r="87" spans="1:4" ht="12.75" thickBot="1" x14ac:dyDescent="0.25">
      <c r="A87" s="210" t="s">
        <v>169</v>
      </c>
      <c r="B87" s="221" t="s">
        <v>70</v>
      </c>
      <c r="C87" s="264" t="s">
        <v>183</v>
      </c>
    </row>
    <row r="88" spans="1:4" x14ac:dyDescent="0.2">
      <c r="A88" s="199">
        <v>1</v>
      </c>
      <c r="B88" s="246" t="s">
        <v>197</v>
      </c>
      <c r="C88" s="247"/>
    </row>
    <row r="89" spans="1:4" x14ac:dyDescent="0.2">
      <c r="A89" s="200">
        <v>2</v>
      </c>
      <c r="B89" s="248" t="s">
        <v>26</v>
      </c>
      <c r="C89" s="249"/>
    </row>
    <row r="90" spans="1:4" x14ac:dyDescent="0.2">
      <c r="A90" s="200">
        <v>3</v>
      </c>
      <c r="B90" s="204" t="s">
        <v>129</v>
      </c>
      <c r="C90" s="249"/>
    </row>
    <row r="91" spans="1:4" ht="12.75" thickBot="1" x14ac:dyDescent="0.25">
      <c r="A91" s="202">
        <v>4</v>
      </c>
      <c r="B91" s="222" t="s">
        <v>198</v>
      </c>
      <c r="C91" s="250"/>
    </row>
    <row r="92" spans="1:4" x14ac:dyDescent="0.2">
      <c r="A92" s="1"/>
      <c r="C92" s="84"/>
    </row>
    <row r="94" spans="1:4" ht="12.75" thickBot="1" x14ac:dyDescent="0.25">
      <c r="A94" s="262" t="s">
        <v>191</v>
      </c>
      <c r="B94" s="263"/>
      <c r="C94" s="263"/>
      <c r="D94" s="263"/>
    </row>
    <row r="95" spans="1:4" ht="15" customHeight="1" thickBot="1" x14ac:dyDescent="0.25">
      <c r="A95" s="221" t="s">
        <v>169</v>
      </c>
      <c r="B95" s="416" t="s">
        <v>170</v>
      </c>
      <c r="C95" s="417"/>
      <c r="D95" s="223" t="s">
        <v>183</v>
      </c>
    </row>
    <row r="96" spans="1:4" ht="14.45" customHeight="1" x14ac:dyDescent="0.2">
      <c r="A96" s="409">
        <v>1</v>
      </c>
      <c r="B96" s="418" t="s">
        <v>164</v>
      </c>
      <c r="C96" s="232" t="s">
        <v>171</v>
      </c>
      <c r="D96" s="246"/>
    </row>
    <row r="97" spans="1:4" x14ac:dyDescent="0.2">
      <c r="A97" s="409"/>
      <c r="B97" s="419"/>
      <c r="C97" s="233" t="s">
        <v>172</v>
      </c>
      <c r="D97" s="204"/>
    </row>
    <row r="98" spans="1:4" x14ac:dyDescent="0.2">
      <c r="A98" s="409"/>
      <c r="B98" s="419"/>
      <c r="C98" s="233" t="s">
        <v>178</v>
      </c>
      <c r="D98" s="204"/>
    </row>
    <row r="99" spans="1:4" x14ac:dyDescent="0.2">
      <c r="A99" s="409"/>
      <c r="B99" s="419"/>
      <c r="C99" s="234" t="s">
        <v>173</v>
      </c>
      <c r="D99" s="204"/>
    </row>
    <row r="100" spans="1:4" x14ac:dyDescent="0.2">
      <c r="A100" s="409"/>
      <c r="B100" s="419"/>
      <c r="C100" s="234" t="s">
        <v>174</v>
      </c>
      <c r="D100" s="204"/>
    </row>
    <row r="101" spans="1:4" x14ac:dyDescent="0.2">
      <c r="A101" s="409"/>
      <c r="B101" s="419"/>
      <c r="C101" s="234" t="s">
        <v>175</v>
      </c>
      <c r="D101" s="204"/>
    </row>
    <row r="102" spans="1:4" x14ac:dyDescent="0.2">
      <c r="A102" s="409"/>
      <c r="B102" s="419"/>
      <c r="C102" s="234" t="s">
        <v>176</v>
      </c>
      <c r="D102" s="204"/>
    </row>
    <row r="103" spans="1:4" ht="12.75" thickBot="1" x14ac:dyDescent="0.25">
      <c r="A103" s="410"/>
      <c r="B103" s="420"/>
      <c r="C103" s="235" t="s">
        <v>177</v>
      </c>
      <c r="D103" s="222"/>
    </row>
    <row r="104" spans="1:4" x14ac:dyDescent="0.2">
      <c r="A104" s="409">
        <v>2</v>
      </c>
      <c r="B104" s="421" t="s">
        <v>185</v>
      </c>
      <c r="C104" s="236" t="s">
        <v>178</v>
      </c>
      <c r="D104" s="251"/>
    </row>
    <row r="105" spans="1:4" x14ac:dyDescent="0.2">
      <c r="A105" s="409"/>
      <c r="B105" s="419"/>
      <c r="C105" s="234" t="s">
        <v>179</v>
      </c>
      <c r="D105" s="252"/>
    </row>
    <row r="106" spans="1:4" x14ac:dyDescent="0.2">
      <c r="A106" s="409"/>
      <c r="B106" s="419"/>
      <c r="C106" s="234" t="s">
        <v>180</v>
      </c>
      <c r="D106" s="252"/>
    </row>
    <row r="107" spans="1:4" x14ac:dyDescent="0.2">
      <c r="A107" s="409"/>
      <c r="B107" s="419"/>
      <c r="C107" s="234" t="s">
        <v>173</v>
      </c>
      <c r="D107" s="252"/>
    </row>
    <row r="108" spans="1:4" ht="12.75" thickBot="1" x14ac:dyDescent="0.25">
      <c r="A108" s="410"/>
      <c r="B108" s="420"/>
      <c r="C108" s="235" t="s">
        <v>176</v>
      </c>
      <c r="D108" s="222"/>
    </row>
    <row r="109" spans="1:4" x14ac:dyDescent="0.2">
      <c r="A109" s="409">
        <v>3</v>
      </c>
      <c r="B109" s="421" t="s">
        <v>184</v>
      </c>
      <c r="C109" s="237" t="s">
        <v>178</v>
      </c>
      <c r="D109" s="246"/>
    </row>
    <row r="110" spans="1:4" x14ac:dyDescent="0.2">
      <c r="A110" s="409"/>
      <c r="B110" s="419"/>
      <c r="C110" s="201" t="s">
        <v>179</v>
      </c>
      <c r="D110" s="204"/>
    </row>
    <row r="111" spans="1:4" x14ac:dyDescent="0.2">
      <c r="A111" s="409"/>
      <c r="B111" s="419"/>
      <c r="C111" s="201" t="s">
        <v>180</v>
      </c>
      <c r="D111" s="204"/>
    </row>
    <row r="112" spans="1:4" x14ac:dyDescent="0.2">
      <c r="A112" s="409"/>
      <c r="B112" s="419"/>
      <c r="C112" s="201" t="s">
        <v>173</v>
      </c>
      <c r="D112" s="204"/>
    </row>
    <row r="113" spans="1:4" ht="12.75" thickBot="1" x14ac:dyDescent="0.25">
      <c r="A113" s="410"/>
      <c r="B113" s="420"/>
      <c r="C113" s="213" t="s">
        <v>176</v>
      </c>
      <c r="D113" s="222"/>
    </row>
    <row r="114" spans="1:4" ht="15" customHeight="1" thickBot="1" x14ac:dyDescent="0.25">
      <c r="A114" s="406">
        <v>4</v>
      </c>
      <c r="B114" s="414" t="s">
        <v>24</v>
      </c>
      <c r="C114" s="415"/>
      <c r="D114" s="221" t="s">
        <v>183</v>
      </c>
    </row>
    <row r="115" spans="1:4" ht="14.45" customHeight="1" x14ac:dyDescent="0.2">
      <c r="A115" s="407"/>
      <c r="B115" s="411" t="s">
        <v>181</v>
      </c>
      <c r="C115" s="238" t="s">
        <v>164</v>
      </c>
      <c r="D115" s="253"/>
    </row>
    <row r="116" spans="1:4" ht="14.45" customHeight="1" x14ac:dyDescent="0.2">
      <c r="A116" s="407"/>
      <c r="B116" s="412"/>
      <c r="C116" s="204" t="s">
        <v>182</v>
      </c>
      <c r="D116" s="254"/>
    </row>
    <row r="117" spans="1:4" ht="15" customHeight="1" thickBot="1" x14ac:dyDescent="0.25">
      <c r="A117" s="408"/>
      <c r="B117" s="413"/>
      <c r="C117" s="222" t="s">
        <v>165</v>
      </c>
      <c r="D117" s="255"/>
    </row>
  </sheetData>
  <mergeCells count="12">
    <mergeCell ref="A54:K54"/>
    <mergeCell ref="A12:K12"/>
    <mergeCell ref="A114:A117"/>
    <mergeCell ref="A109:A113"/>
    <mergeCell ref="B115:B117"/>
    <mergeCell ref="B114:C114"/>
    <mergeCell ref="B95:C95"/>
    <mergeCell ref="B96:B103"/>
    <mergeCell ref="B109:B113"/>
    <mergeCell ref="B104:B108"/>
    <mergeCell ref="A96:A103"/>
    <mergeCell ref="A104:A10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Sammenstilling_total</vt:lpstr>
      <vt:lpstr>Sammenstilling_buss</vt:lpstr>
      <vt:lpstr>Sammenstilling_skinnegående</vt:lpstr>
      <vt:lpstr>Sammenstilling_båt&amp;hurtigbåt</vt:lpstr>
      <vt:lpstr>Sammenstilling_ferge</vt:lpstr>
      <vt:lpstr>FLEXX</vt:lpstr>
      <vt:lpstr>Vedlegg1_Metadata</vt:lpstr>
      <vt:lpstr>Vedlegg2_datainnhentingskjema</vt:lpstr>
    </vt:vector>
  </TitlesOfParts>
  <Company>Transportokonomisk institutt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Fitwi Wolday</dc:creator>
  <cp:lastModifiedBy>Jørgen Aarhaug</cp:lastModifiedBy>
  <dcterms:created xsi:type="dcterms:W3CDTF">2024-07-02T08:31:27Z</dcterms:created>
  <dcterms:modified xsi:type="dcterms:W3CDTF">2024-11-14T09:20:30Z</dcterms:modified>
</cp:coreProperties>
</file>